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comments6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comments7.xml" ContentType="application/vnd.openxmlformats-officedocument.spreadsheetml.comment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3.xml" ContentType="application/vnd.openxmlformats-officedocument.drawing+xml"/>
  <Override PartName="/xl/comments8.xml" ContentType="application/vnd.openxmlformats-officedocument.spreadsheetml.comments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4.xml" ContentType="application/vnd.openxmlformats-officedocument.drawing+xml"/>
  <Override PartName="/xl/comments9.xml" ContentType="application/vnd.openxmlformats-officedocument.spreadsheetml.comments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5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 filterPrivacy="1" autoCompressPictures="0"/>
  <xr:revisionPtr revIDLastSave="0" documentId="8_{E774B000-B0B7-5E45-AECE-0D834E47944F}" xr6:coauthVersionLast="47" xr6:coauthVersionMax="47" xr10:uidLastSave="{00000000-0000-0000-0000-000000000000}"/>
  <bookViews>
    <workbookView xWindow="-1820" yWindow="500" windowWidth="28800" windowHeight="15980" firstSheet="5" activeTab="8" xr2:uid="{00000000-000D-0000-FFFF-FFFF00000000}"/>
  </bookViews>
  <sheets>
    <sheet name="2013-2014" sheetId="8" r:id="rId1"/>
    <sheet name="2014-2015" sheetId="1" r:id="rId2"/>
    <sheet name="2015-2016" sheetId="2" r:id="rId3"/>
    <sheet name="2016-2017" sheetId="3" r:id="rId4"/>
    <sheet name="2017-2018" sheetId="4" r:id="rId5"/>
    <sheet name="2018-2019" sheetId="5" r:id="rId6"/>
    <sheet name="2019-2020" sheetId="7" r:id="rId7"/>
    <sheet name="2020-2021" sheetId="9" r:id="rId8"/>
    <sheet name="2021-2022" sheetId="11" r:id="rId9"/>
    <sheet name="Graphs" sheetId="6" r:id="rId10"/>
  </sheets>
  <definedNames>
    <definedName name="_xlnm._FilterDatabase" localSheetId="1" hidden="1">'2014-2015'!$A$3:$AA$63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8" i="11" l="1"/>
  <c r="L28" i="11" s="1"/>
  <c r="D63" i="11"/>
  <c r="I63" i="11" s="1"/>
  <c r="J61" i="11"/>
  <c r="J57" i="11"/>
  <c r="J56" i="11"/>
  <c r="Q56" i="11" s="1"/>
  <c r="J54" i="11"/>
  <c r="J52" i="11"/>
  <c r="J50" i="11"/>
  <c r="P50" i="11" s="1"/>
  <c r="J49" i="11"/>
  <c r="Q49" i="11" s="1"/>
  <c r="J48" i="11"/>
  <c r="J47" i="11"/>
  <c r="N47" i="11" s="1"/>
  <c r="J46" i="11"/>
  <c r="P46" i="11" s="1"/>
  <c r="J45" i="11"/>
  <c r="Q45" i="11" s="1"/>
  <c r="J44" i="11"/>
  <c r="J42" i="11"/>
  <c r="J41" i="11"/>
  <c r="J40" i="11"/>
  <c r="N40" i="11" s="1"/>
  <c r="J39" i="11"/>
  <c r="N39" i="11" s="1"/>
  <c r="J38" i="11"/>
  <c r="J37" i="11"/>
  <c r="J36" i="11"/>
  <c r="J35" i="11"/>
  <c r="P35" i="11" s="1"/>
  <c r="J34" i="11"/>
  <c r="J33" i="11"/>
  <c r="J29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J6" i="11"/>
  <c r="J5" i="11"/>
  <c r="J4" i="11"/>
  <c r="N5" i="11"/>
  <c r="V63" i="11"/>
  <c r="T63" i="11"/>
  <c r="R63" i="11"/>
  <c r="P63" i="11"/>
  <c r="N63" i="11"/>
  <c r="L63" i="11"/>
  <c r="V61" i="11"/>
  <c r="T61" i="11"/>
  <c r="R61" i="11"/>
  <c r="I61" i="11"/>
  <c r="G61" i="11"/>
  <c r="E61" i="11"/>
  <c r="V57" i="11"/>
  <c r="T57" i="11"/>
  <c r="R57" i="11"/>
  <c r="Q57" i="11"/>
  <c r="P57" i="11"/>
  <c r="N57" i="11"/>
  <c r="L57" i="11"/>
  <c r="I57" i="11"/>
  <c r="G57" i="11"/>
  <c r="E57" i="11"/>
  <c r="V56" i="11"/>
  <c r="T56" i="11"/>
  <c r="R56" i="11"/>
  <c r="N56" i="11"/>
  <c r="L56" i="11"/>
  <c r="I56" i="11"/>
  <c r="G56" i="11"/>
  <c r="E56" i="11"/>
  <c r="V54" i="11"/>
  <c r="T54" i="11"/>
  <c r="R54" i="11"/>
  <c r="Q54" i="11"/>
  <c r="P54" i="11"/>
  <c r="N54" i="11"/>
  <c r="L54" i="11"/>
  <c r="I54" i="11"/>
  <c r="G54" i="11"/>
  <c r="E54" i="11"/>
  <c r="V52" i="11"/>
  <c r="T52" i="11"/>
  <c r="R52" i="11"/>
  <c r="Q52" i="11"/>
  <c r="P52" i="11"/>
  <c r="N52" i="11"/>
  <c r="L52" i="11"/>
  <c r="I52" i="11"/>
  <c r="G52" i="11"/>
  <c r="E52" i="11"/>
  <c r="V50" i="11"/>
  <c r="T50" i="11"/>
  <c r="R50" i="11"/>
  <c r="I50" i="11"/>
  <c r="G50" i="11"/>
  <c r="E50" i="11"/>
  <c r="V49" i="11"/>
  <c r="T49" i="11"/>
  <c r="R49" i="11"/>
  <c r="N49" i="11"/>
  <c r="L49" i="11"/>
  <c r="I49" i="11"/>
  <c r="G49" i="11"/>
  <c r="E49" i="11"/>
  <c r="V48" i="11"/>
  <c r="T48" i="11"/>
  <c r="R48" i="11"/>
  <c r="Q48" i="11"/>
  <c r="P48" i="11"/>
  <c r="N48" i="11"/>
  <c r="L48" i="11"/>
  <c r="I48" i="11"/>
  <c r="G48" i="11"/>
  <c r="E48" i="11"/>
  <c r="V47" i="11"/>
  <c r="T47" i="11"/>
  <c r="R47" i="11"/>
  <c r="Q47" i="11"/>
  <c r="P47" i="11"/>
  <c r="I47" i="11"/>
  <c r="G47" i="11"/>
  <c r="E47" i="11"/>
  <c r="V46" i="11"/>
  <c r="T46" i="11"/>
  <c r="R46" i="11"/>
  <c r="Q46" i="11"/>
  <c r="L46" i="11"/>
  <c r="I46" i="11"/>
  <c r="G46" i="11"/>
  <c r="E46" i="11"/>
  <c r="V45" i="11"/>
  <c r="T45" i="11"/>
  <c r="R45" i="11"/>
  <c r="N45" i="11"/>
  <c r="L45" i="11"/>
  <c r="I45" i="11"/>
  <c r="G45" i="11"/>
  <c r="E45" i="11"/>
  <c r="V44" i="11"/>
  <c r="T44" i="11"/>
  <c r="R44" i="11"/>
  <c r="Q44" i="11"/>
  <c r="P44" i="11"/>
  <c r="N44" i="11"/>
  <c r="L44" i="11"/>
  <c r="I44" i="11"/>
  <c r="G44" i="11"/>
  <c r="E44" i="11"/>
  <c r="V43" i="11"/>
  <c r="T43" i="11"/>
  <c r="R43" i="11"/>
  <c r="Q43" i="11"/>
  <c r="P43" i="11"/>
  <c r="N43" i="11"/>
  <c r="L43" i="11"/>
  <c r="I43" i="11"/>
  <c r="G43" i="11"/>
  <c r="E43" i="11"/>
  <c r="V42" i="11"/>
  <c r="T42" i="11"/>
  <c r="R42" i="11"/>
  <c r="Q42" i="11"/>
  <c r="P42" i="11"/>
  <c r="N42" i="11"/>
  <c r="L42" i="11"/>
  <c r="I42" i="11"/>
  <c r="G42" i="11"/>
  <c r="E42" i="11"/>
  <c r="V41" i="11"/>
  <c r="T41" i="11"/>
  <c r="R41" i="11"/>
  <c r="Q41" i="11"/>
  <c r="P41" i="11"/>
  <c r="N41" i="11"/>
  <c r="L41" i="11"/>
  <c r="I41" i="11"/>
  <c r="G41" i="11"/>
  <c r="E41" i="11"/>
  <c r="V40" i="11"/>
  <c r="T40" i="11"/>
  <c r="R40" i="11"/>
  <c r="Q40" i="11"/>
  <c r="P40" i="11"/>
  <c r="L40" i="11"/>
  <c r="I40" i="11"/>
  <c r="G40" i="11"/>
  <c r="E40" i="11"/>
  <c r="V39" i="11"/>
  <c r="T39" i="11"/>
  <c r="R39" i="11"/>
  <c r="Q39" i="11"/>
  <c r="P39" i="11"/>
  <c r="I39" i="11"/>
  <c r="G39" i="11"/>
  <c r="E39" i="11"/>
  <c r="V38" i="11"/>
  <c r="T38" i="11"/>
  <c r="R38" i="11"/>
  <c r="Q38" i="11"/>
  <c r="P38" i="11"/>
  <c r="N38" i="11"/>
  <c r="L38" i="11"/>
  <c r="I38" i="11"/>
  <c r="G38" i="11"/>
  <c r="E38" i="11"/>
  <c r="V37" i="11"/>
  <c r="T37" i="11"/>
  <c r="R37" i="11"/>
  <c r="Q37" i="11"/>
  <c r="P37" i="11"/>
  <c r="N37" i="11"/>
  <c r="L37" i="11"/>
  <c r="I37" i="11"/>
  <c r="G37" i="11"/>
  <c r="E37" i="11"/>
  <c r="V36" i="11"/>
  <c r="T36" i="11"/>
  <c r="R36" i="11"/>
  <c r="Q36" i="11"/>
  <c r="P36" i="11"/>
  <c r="N36" i="11"/>
  <c r="L36" i="11"/>
  <c r="I36" i="11"/>
  <c r="G36" i="11"/>
  <c r="E36" i="11"/>
  <c r="V35" i="11"/>
  <c r="T35" i="11"/>
  <c r="R35" i="11"/>
  <c r="Q35" i="11"/>
  <c r="L35" i="11"/>
  <c r="I35" i="11"/>
  <c r="G35" i="11"/>
  <c r="E35" i="11"/>
  <c r="R34" i="11"/>
  <c r="Q34" i="11"/>
  <c r="P34" i="11"/>
  <c r="N34" i="11"/>
  <c r="L34" i="11"/>
  <c r="E34" i="11"/>
  <c r="V33" i="11"/>
  <c r="T33" i="11"/>
  <c r="R33" i="11"/>
  <c r="Q33" i="11"/>
  <c r="P33" i="11"/>
  <c r="N33" i="11"/>
  <c r="L33" i="11"/>
  <c r="I33" i="11"/>
  <c r="G33" i="11"/>
  <c r="E33" i="11"/>
  <c r="V31" i="11"/>
  <c r="T31" i="11"/>
  <c r="R31" i="11"/>
  <c r="Q31" i="11"/>
  <c r="P31" i="11"/>
  <c r="N31" i="11"/>
  <c r="L31" i="11"/>
  <c r="I31" i="11"/>
  <c r="G31" i="11"/>
  <c r="E31" i="11"/>
  <c r="V29" i="11"/>
  <c r="T29" i="11"/>
  <c r="R29" i="11"/>
  <c r="Q29" i="11"/>
  <c r="P29" i="11"/>
  <c r="N29" i="11"/>
  <c r="L29" i="11"/>
  <c r="I29" i="11"/>
  <c r="G29" i="11"/>
  <c r="E29" i="11"/>
  <c r="T28" i="11"/>
  <c r="R28" i="11"/>
  <c r="G28" i="11"/>
  <c r="E28" i="11"/>
  <c r="V26" i="11"/>
  <c r="T26" i="11"/>
  <c r="R26" i="11"/>
  <c r="Q26" i="11"/>
  <c r="P26" i="11"/>
  <c r="N26" i="11"/>
  <c r="L26" i="11"/>
  <c r="I26" i="11"/>
  <c r="G26" i="11"/>
  <c r="E26" i="11"/>
  <c r="V25" i="11"/>
  <c r="T25" i="11"/>
  <c r="R25" i="11"/>
  <c r="I25" i="11"/>
  <c r="G25" i="11"/>
  <c r="E25" i="11"/>
  <c r="V24" i="11"/>
  <c r="T24" i="11"/>
  <c r="R24" i="11"/>
  <c r="I24" i="11"/>
  <c r="G24" i="11"/>
  <c r="E24" i="11"/>
  <c r="V23" i="11"/>
  <c r="T23" i="11"/>
  <c r="R23" i="11"/>
  <c r="I23" i="11"/>
  <c r="G23" i="11"/>
  <c r="E23" i="11"/>
  <c r="V22" i="11"/>
  <c r="T22" i="11"/>
  <c r="R22" i="11"/>
  <c r="Q22" i="11"/>
  <c r="P22" i="11"/>
  <c r="N22" i="11"/>
  <c r="L22" i="11"/>
  <c r="I22" i="11"/>
  <c r="G22" i="11"/>
  <c r="E22" i="11"/>
  <c r="V21" i="11"/>
  <c r="T21" i="11"/>
  <c r="R21" i="11"/>
  <c r="Q21" i="11"/>
  <c r="P21" i="11"/>
  <c r="N21" i="11"/>
  <c r="L21" i="11"/>
  <c r="I21" i="11"/>
  <c r="G21" i="11"/>
  <c r="E21" i="11"/>
  <c r="V20" i="11"/>
  <c r="T20" i="11"/>
  <c r="R20" i="11"/>
  <c r="Q20" i="11"/>
  <c r="P20" i="11"/>
  <c r="N20" i="11"/>
  <c r="L20" i="11"/>
  <c r="I20" i="11"/>
  <c r="G20" i="11"/>
  <c r="E20" i="11"/>
  <c r="V19" i="11"/>
  <c r="T19" i="11"/>
  <c r="R19" i="11"/>
  <c r="Q19" i="11"/>
  <c r="P19" i="11"/>
  <c r="N19" i="11"/>
  <c r="L19" i="11"/>
  <c r="I19" i="11"/>
  <c r="G19" i="11"/>
  <c r="E19" i="11"/>
  <c r="V18" i="11"/>
  <c r="T18" i="11"/>
  <c r="R18" i="11"/>
  <c r="Q18" i="11"/>
  <c r="P18" i="11"/>
  <c r="N18" i="11"/>
  <c r="L18" i="11"/>
  <c r="I18" i="11"/>
  <c r="G18" i="11"/>
  <c r="E18" i="11"/>
  <c r="V17" i="11"/>
  <c r="T17" i="11"/>
  <c r="R17" i="11"/>
  <c r="I17" i="11"/>
  <c r="G17" i="11"/>
  <c r="E17" i="11"/>
  <c r="V16" i="11"/>
  <c r="T16" i="11"/>
  <c r="R16" i="11"/>
  <c r="Q16" i="11"/>
  <c r="P16" i="11"/>
  <c r="N16" i="11"/>
  <c r="L16" i="11"/>
  <c r="I16" i="11"/>
  <c r="G16" i="11"/>
  <c r="E16" i="11"/>
  <c r="V15" i="11"/>
  <c r="T15" i="11"/>
  <c r="R15" i="11"/>
  <c r="Q15" i="11"/>
  <c r="P15" i="11"/>
  <c r="N15" i="11"/>
  <c r="L15" i="11"/>
  <c r="I15" i="11"/>
  <c r="G15" i="11"/>
  <c r="E15" i="11"/>
  <c r="V14" i="11"/>
  <c r="T14" i="11"/>
  <c r="R14" i="11"/>
  <c r="Q14" i="11"/>
  <c r="P14" i="11"/>
  <c r="N14" i="11"/>
  <c r="L14" i="11"/>
  <c r="I14" i="11"/>
  <c r="G14" i="11"/>
  <c r="E14" i="11"/>
  <c r="V13" i="11"/>
  <c r="T13" i="11"/>
  <c r="R13" i="11"/>
  <c r="Q13" i="11"/>
  <c r="P13" i="11"/>
  <c r="N13" i="11"/>
  <c r="L13" i="11"/>
  <c r="I13" i="11"/>
  <c r="G13" i="11"/>
  <c r="E13" i="11"/>
  <c r="V12" i="11"/>
  <c r="T12" i="11"/>
  <c r="R12" i="11"/>
  <c r="Q12" i="11"/>
  <c r="P12" i="11"/>
  <c r="N12" i="11"/>
  <c r="L12" i="11"/>
  <c r="I12" i="11"/>
  <c r="G12" i="11"/>
  <c r="E12" i="11"/>
  <c r="V11" i="11"/>
  <c r="T11" i="11"/>
  <c r="R11" i="11"/>
  <c r="Q11" i="11"/>
  <c r="P11" i="11"/>
  <c r="N11" i="11"/>
  <c r="L11" i="11"/>
  <c r="I11" i="11"/>
  <c r="G11" i="11"/>
  <c r="E11" i="11"/>
  <c r="V10" i="11"/>
  <c r="T10" i="11"/>
  <c r="R10" i="11"/>
  <c r="Q10" i="11"/>
  <c r="P10" i="11"/>
  <c r="N10" i="11"/>
  <c r="L10" i="11"/>
  <c r="I10" i="11"/>
  <c r="G10" i="11"/>
  <c r="E10" i="11"/>
  <c r="V9" i="11"/>
  <c r="T9" i="11"/>
  <c r="R9" i="11"/>
  <c r="Q9" i="11"/>
  <c r="P9" i="11"/>
  <c r="N9" i="11"/>
  <c r="L9" i="11"/>
  <c r="I9" i="11"/>
  <c r="G9" i="11"/>
  <c r="E9" i="11"/>
  <c r="V6" i="11"/>
  <c r="T6" i="11"/>
  <c r="R6" i="11"/>
  <c r="Q6" i="11"/>
  <c r="P6" i="11"/>
  <c r="N6" i="11"/>
  <c r="L6" i="11"/>
  <c r="I6" i="11"/>
  <c r="G6" i="11"/>
  <c r="E6" i="11"/>
  <c r="V5" i="11"/>
  <c r="T5" i="11"/>
  <c r="R5" i="11"/>
  <c r="I5" i="11"/>
  <c r="G5" i="11"/>
  <c r="E5" i="11"/>
  <c r="V4" i="11"/>
  <c r="T4" i="11"/>
  <c r="R4" i="11"/>
  <c r="Q4" i="11"/>
  <c r="P4" i="11"/>
  <c r="N4" i="11"/>
  <c r="L4" i="11"/>
  <c r="I4" i="11"/>
  <c r="G4" i="11"/>
  <c r="E4" i="11"/>
  <c r="Q28" i="11" l="1"/>
  <c r="U28" i="11" s="1"/>
  <c r="N28" i="11"/>
  <c r="P28" i="11"/>
  <c r="G63" i="11"/>
  <c r="Q63" i="11"/>
  <c r="W63" i="11" s="1"/>
  <c r="E63" i="11"/>
  <c r="Q61" i="11"/>
  <c r="S61" i="11" s="1"/>
  <c r="P61" i="11"/>
  <c r="N61" i="11"/>
  <c r="L61" i="11"/>
  <c r="P56" i="11"/>
  <c r="L50" i="11"/>
  <c r="N50" i="11"/>
  <c r="Q50" i="11"/>
  <c r="U50" i="11" s="1"/>
  <c r="P49" i="11"/>
  <c r="L47" i="11"/>
  <c r="N46" i="11"/>
  <c r="P45" i="11"/>
  <c r="L39" i="11"/>
  <c r="N35" i="11"/>
  <c r="L23" i="11"/>
  <c r="N23" i="11"/>
  <c r="Q23" i="11"/>
  <c r="S23" i="11" s="1"/>
  <c r="P23" i="11"/>
  <c r="P25" i="11"/>
  <c r="N25" i="11"/>
  <c r="Q25" i="11"/>
  <c r="W25" i="11" s="1"/>
  <c r="L25" i="11"/>
  <c r="P24" i="11"/>
  <c r="N24" i="11"/>
  <c r="L24" i="11"/>
  <c r="Q24" i="11"/>
  <c r="W24" i="11" s="1"/>
  <c r="N17" i="11"/>
  <c r="P17" i="11"/>
  <c r="L17" i="11"/>
  <c r="Q17" i="11"/>
  <c r="W17" i="11" s="1"/>
  <c r="U44" i="11"/>
  <c r="U46" i="11"/>
  <c r="U48" i="11"/>
  <c r="U54" i="11"/>
  <c r="U57" i="11"/>
  <c r="Q5" i="11"/>
  <c r="U5" i="11" s="1"/>
  <c r="L5" i="11"/>
  <c r="P5" i="11"/>
  <c r="W4" i="11"/>
  <c r="W45" i="11"/>
  <c r="U9" i="11"/>
  <c r="U11" i="11"/>
  <c r="U13" i="11"/>
  <c r="U15" i="11"/>
  <c r="U19" i="11"/>
  <c r="U21" i="11"/>
  <c r="U25" i="11"/>
  <c r="U33" i="11"/>
  <c r="U35" i="11"/>
  <c r="U37" i="11"/>
  <c r="U39" i="11"/>
  <c r="U41" i="11"/>
  <c r="S43" i="11"/>
  <c r="W29" i="11"/>
  <c r="U43" i="11"/>
  <c r="U47" i="11"/>
  <c r="U49" i="11"/>
  <c r="U52" i="11"/>
  <c r="U56" i="11"/>
  <c r="U61" i="11"/>
  <c r="U6" i="11"/>
  <c r="U10" i="11"/>
  <c r="U12" i="11"/>
  <c r="U14" i="11"/>
  <c r="U16" i="11"/>
  <c r="U18" i="11"/>
  <c r="U20" i="11"/>
  <c r="U22" i="11"/>
  <c r="U26" i="11"/>
  <c r="U31" i="11"/>
  <c r="U36" i="11"/>
  <c r="U38" i="11"/>
  <c r="U40" i="11"/>
  <c r="U42" i="11"/>
  <c r="S15" i="11"/>
  <c r="S35" i="11"/>
  <c r="S52" i="11"/>
  <c r="S34" i="11"/>
  <c r="W6" i="11"/>
  <c r="W11" i="11"/>
  <c r="S12" i="11"/>
  <c r="W16" i="11"/>
  <c r="W19" i="11"/>
  <c r="S20" i="11"/>
  <c r="W33" i="11"/>
  <c r="W36" i="11"/>
  <c r="W39" i="11"/>
  <c r="S40" i="11"/>
  <c r="W44" i="11"/>
  <c r="W47" i="11"/>
  <c r="S48" i="11"/>
  <c r="W54" i="11"/>
  <c r="S19" i="11"/>
  <c r="S33" i="11"/>
  <c r="S39" i="11"/>
  <c r="S47" i="11"/>
  <c r="S11" i="11"/>
  <c r="S6" i="11"/>
  <c r="W12" i="11"/>
  <c r="W15" i="11"/>
  <c r="S16" i="11"/>
  <c r="W20" i="11"/>
  <c r="W23" i="11"/>
  <c r="W35" i="11"/>
  <c r="S36" i="11"/>
  <c r="W40" i="11"/>
  <c r="W43" i="11"/>
  <c r="S44" i="11"/>
  <c r="W48" i="11"/>
  <c r="W52" i="11"/>
  <c r="S54" i="11"/>
  <c r="U17" i="11"/>
  <c r="U29" i="11"/>
  <c r="U45" i="11"/>
  <c r="S9" i="11"/>
  <c r="W9" i="11"/>
  <c r="S13" i="11"/>
  <c r="W13" i="11"/>
  <c r="S21" i="11"/>
  <c r="W21" i="11"/>
  <c r="S25" i="11"/>
  <c r="S29" i="11"/>
  <c r="S37" i="11"/>
  <c r="W37" i="11"/>
  <c r="S41" i="11"/>
  <c r="W41" i="11"/>
  <c r="S45" i="11"/>
  <c r="S49" i="11"/>
  <c r="W49" i="11"/>
  <c r="S56" i="11"/>
  <c r="W56" i="11"/>
  <c r="U4" i="11"/>
  <c r="S4" i="11"/>
  <c r="S10" i="11"/>
  <c r="W10" i="11"/>
  <c r="AA11" i="11" s="1"/>
  <c r="S14" i="11"/>
  <c r="W14" i="11"/>
  <c r="S18" i="11"/>
  <c r="W18" i="11"/>
  <c r="S22" i="11"/>
  <c r="W22" i="11"/>
  <c r="S26" i="11"/>
  <c r="W26" i="11"/>
  <c r="S31" i="11"/>
  <c r="W31" i="11"/>
  <c r="S38" i="11"/>
  <c r="W38" i="11"/>
  <c r="S42" i="11"/>
  <c r="W42" i="11"/>
  <c r="S46" i="11"/>
  <c r="W46" i="11"/>
  <c r="S57" i="11"/>
  <c r="W57" i="11"/>
  <c r="V63" i="9"/>
  <c r="T63" i="9"/>
  <c r="R63" i="9"/>
  <c r="Q63" i="9"/>
  <c r="P63" i="9"/>
  <c r="N63" i="9"/>
  <c r="L63" i="9"/>
  <c r="I63" i="9"/>
  <c r="G63" i="9"/>
  <c r="E63" i="9"/>
  <c r="V61" i="9"/>
  <c r="T61" i="9"/>
  <c r="R61" i="9"/>
  <c r="Q61" i="9"/>
  <c r="P61" i="9"/>
  <c r="N61" i="9"/>
  <c r="L61" i="9"/>
  <c r="I61" i="9"/>
  <c r="G61" i="9"/>
  <c r="E61" i="9"/>
  <c r="V57" i="9"/>
  <c r="T57" i="9"/>
  <c r="R57" i="9"/>
  <c r="Q57" i="9"/>
  <c r="P57" i="9"/>
  <c r="N57" i="9"/>
  <c r="L57" i="9"/>
  <c r="I57" i="9"/>
  <c r="G57" i="9"/>
  <c r="E57" i="9"/>
  <c r="V56" i="9"/>
  <c r="T56" i="9"/>
  <c r="R56" i="9"/>
  <c r="Q56" i="9"/>
  <c r="U56" i="9" s="1"/>
  <c r="P56" i="9"/>
  <c r="N56" i="9"/>
  <c r="L56" i="9"/>
  <c r="I56" i="9"/>
  <c r="G56" i="9"/>
  <c r="E56" i="9"/>
  <c r="V54" i="9"/>
  <c r="T54" i="9"/>
  <c r="R54" i="9"/>
  <c r="Q54" i="9"/>
  <c r="W54" i="9" s="1"/>
  <c r="P54" i="9"/>
  <c r="N54" i="9"/>
  <c r="L54" i="9"/>
  <c r="I54" i="9"/>
  <c r="G54" i="9"/>
  <c r="E54" i="9"/>
  <c r="V52" i="9"/>
  <c r="T52" i="9"/>
  <c r="R52" i="9"/>
  <c r="Q52" i="9"/>
  <c r="U52" i="9" s="1"/>
  <c r="P52" i="9"/>
  <c r="N52" i="9"/>
  <c r="L52" i="9"/>
  <c r="I52" i="9"/>
  <c r="G52" i="9"/>
  <c r="E52" i="9"/>
  <c r="V50" i="9"/>
  <c r="T50" i="9"/>
  <c r="R50" i="9"/>
  <c r="Q50" i="9"/>
  <c r="P50" i="9"/>
  <c r="N50" i="9"/>
  <c r="L50" i="9"/>
  <c r="I50" i="9"/>
  <c r="G50" i="9"/>
  <c r="E50" i="9"/>
  <c r="V49" i="9"/>
  <c r="T49" i="9"/>
  <c r="R49" i="9"/>
  <c r="Q49" i="9"/>
  <c r="P49" i="9"/>
  <c r="N49" i="9"/>
  <c r="L49" i="9"/>
  <c r="I49" i="9"/>
  <c r="G49" i="9"/>
  <c r="E49" i="9"/>
  <c r="V48" i="9"/>
  <c r="T48" i="9"/>
  <c r="R48" i="9"/>
  <c r="Q48" i="9"/>
  <c r="P48" i="9"/>
  <c r="N48" i="9"/>
  <c r="L48" i="9"/>
  <c r="I48" i="9"/>
  <c r="G48" i="9"/>
  <c r="E48" i="9"/>
  <c r="V47" i="9"/>
  <c r="T47" i="9"/>
  <c r="R47" i="9"/>
  <c r="Q47" i="9"/>
  <c r="P47" i="9"/>
  <c r="N47" i="9"/>
  <c r="L47" i="9"/>
  <c r="I47" i="9"/>
  <c r="G47" i="9"/>
  <c r="E47" i="9"/>
  <c r="V46" i="9"/>
  <c r="T46" i="9"/>
  <c r="R46" i="9"/>
  <c r="Q46" i="9"/>
  <c r="U46" i="9" s="1"/>
  <c r="P46" i="9"/>
  <c r="N46" i="9"/>
  <c r="L46" i="9"/>
  <c r="I46" i="9"/>
  <c r="G46" i="9"/>
  <c r="E46" i="9"/>
  <c r="V45" i="9"/>
  <c r="T45" i="9"/>
  <c r="S45" i="9"/>
  <c r="R45" i="9"/>
  <c r="Q45" i="9"/>
  <c r="P45" i="9"/>
  <c r="N45" i="9"/>
  <c r="L45" i="9"/>
  <c r="I45" i="9"/>
  <c r="G45" i="9"/>
  <c r="E45" i="9"/>
  <c r="V44" i="9"/>
  <c r="T44" i="9"/>
  <c r="R44" i="9"/>
  <c r="Q44" i="9"/>
  <c r="W44" i="9" s="1"/>
  <c r="P44" i="9"/>
  <c r="N44" i="9"/>
  <c r="L44" i="9"/>
  <c r="I44" i="9"/>
  <c r="G44" i="9"/>
  <c r="E44" i="9"/>
  <c r="V43" i="9"/>
  <c r="T43" i="9"/>
  <c r="R43" i="9"/>
  <c r="Q43" i="9"/>
  <c r="P43" i="9"/>
  <c r="N43" i="9"/>
  <c r="L43" i="9"/>
  <c r="I43" i="9"/>
  <c r="G43" i="9"/>
  <c r="E43" i="9"/>
  <c r="V42" i="9"/>
  <c r="T42" i="9"/>
  <c r="R42" i="9"/>
  <c r="Q42" i="9"/>
  <c r="U42" i="9" s="1"/>
  <c r="P42" i="9"/>
  <c r="N42" i="9"/>
  <c r="L42" i="9"/>
  <c r="I42" i="9"/>
  <c r="G42" i="9"/>
  <c r="E42" i="9"/>
  <c r="V41" i="9"/>
  <c r="T41" i="9"/>
  <c r="R41" i="9"/>
  <c r="Q41" i="9"/>
  <c r="P41" i="9"/>
  <c r="N41" i="9"/>
  <c r="L41" i="9"/>
  <c r="I41" i="9"/>
  <c r="G41" i="9"/>
  <c r="E41" i="9"/>
  <c r="V40" i="9"/>
  <c r="T40" i="9"/>
  <c r="R40" i="9"/>
  <c r="Q40" i="9"/>
  <c r="W40" i="9" s="1"/>
  <c r="P40" i="9"/>
  <c r="N40" i="9"/>
  <c r="L40" i="9"/>
  <c r="I40" i="9"/>
  <c r="G40" i="9"/>
  <c r="E40" i="9"/>
  <c r="V39" i="9"/>
  <c r="T39" i="9"/>
  <c r="R39" i="9"/>
  <c r="Q39" i="9"/>
  <c r="P39" i="9"/>
  <c r="N39" i="9"/>
  <c r="L39" i="9"/>
  <c r="I39" i="9"/>
  <c r="G39" i="9"/>
  <c r="E39" i="9"/>
  <c r="V38" i="9"/>
  <c r="T38" i="9"/>
  <c r="R38" i="9"/>
  <c r="Q38" i="9"/>
  <c r="U38" i="9" s="1"/>
  <c r="P38" i="9"/>
  <c r="N38" i="9"/>
  <c r="L38" i="9"/>
  <c r="I38" i="9"/>
  <c r="G38" i="9"/>
  <c r="E38" i="9"/>
  <c r="V37" i="9"/>
  <c r="T37" i="9"/>
  <c r="R37" i="9"/>
  <c r="Q37" i="9"/>
  <c r="S37" i="9" s="1"/>
  <c r="P37" i="9"/>
  <c r="N37" i="9"/>
  <c r="L37" i="9"/>
  <c r="I37" i="9"/>
  <c r="G37" i="9"/>
  <c r="E37" i="9"/>
  <c r="V36" i="9"/>
  <c r="T36" i="9"/>
  <c r="R36" i="9"/>
  <c r="Q36" i="9"/>
  <c r="P36" i="9"/>
  <c r="N36" i="9"/>
  <c r="L36" i="9"/>
  <c r="I36" i="9"/>
  <c r="G36" i="9"/>
  <c r="E36" i="9"/>
  <c r="V35" i="9"/>
  <c r="T35" i="9"/>
  <c r="R35" i="9"/>
  <c r="Q35" i="9"/>
  <c r="P35" i="9"/>
  <c r="N35" i="9"/>
  <c r="L35" i="9"/>
  <c r="I35" i="9"/>
  <c r="G35" i="9"/>
  <c r="E35" i="9"/>
  <c r="R34" i="9"/>
  <c r="Q34" i="9"/>
  <c r="P34" i="9"/>
  <c r="N34" i="9"/>
  <c r="L34" i="9"/>
  <c r="E34" i="9"/>
  <c r="V33" i="9"/>
  <c r="T33" i="9"/>
  <c r="R33" i="9"/>
  <c r="Q33" i="9"/>
  <c r="P33" i="9"/>
  <c r="N33" i="9"/>
  <c r="L33" i="9"/>
  <c r="I33" i="9"/>
  <c r="G33" i="9"/>
  <c r="E33" i="9"/>
  <c r="V31" i="9"/>
  <c r="T31" i="9"/>
  <c r="R31" i="9"/>
  <c r="Q31" i="9"/>
  <c r="U31" i="9" s="1"/>
  <c r="P31" i="9"/>
  <c r="N31" i="9"/>
  <c r="L31" i="9"/>
  <c r="I31" i="9"/>
  <c r="G31" i="9"/>
  <c r="E31" i="9"/>
  <c r="V29" i="9"/>
  <c r="T29" i="9"/>
  <c r="R29" i="9"/>
  <c r="Q29" i="9"/>
  <c r="S29" i="9" s="1"/>
  <c r="P29" i="9"/>
  <c r="N29" i="9"/>
  <c r="L29" i="9"/>
  <c r="I29" i="9"/>
  <c r="G29" i="9"/>
  <c r="E29" i="9"/>
  <c r="T28" i="9"/>
  <c r="R28" i="9"/>
  <c r="S28" i="9" s="1"/>
  <c r="Q28" i="9"/>
  <c r="U28" i="9" s="1"/>
  <c r="P28" i="9"/>
  <c r="N28" i="9"/>
  <c r="L28" i="9"/>
  <c r="G28" i="9"/>
  <c r="E28" i="9"/>
  <c r="V26" i="9"/>
  <c r="T26" i="9"/>
  <c r="R26" i="9"/>
  <c r="Q26" i="9"/>
  <c r="U26" i="9" s="1"/>
  <c r="P26" i="9"/>
  <c r="N26" i="9"/>
  <c r="L26" i="9"/>
  <c r="I26" i="9"/>
  <c r="G26" i="9"/>
  <c r="E26" i="9"/>
  <c r="V25" i="9"/>
  <c r="T25" i="9"/>
  <c r="R25" i="9"/>
  <c r="Q25" i="9"/>
  <c r="S25" i="9" s="1"/>
  <c r="P25" i="9"/>
  <c r="N25" i="9"/>
  <c r="L25" i="9"/>
  <c r="I25" i="9"/>
  <c r="G25" i="9"/>
  <c r="E25" i="9"/>
  <c r="V24" i="9"/>
  <c r="T24" i="9"/>
  <c r="R24" i="9"/>
  <c r="Q24" i="9"/>
  <c r="U24" i="9" s="1"/>
  <c r="P24" i="9"/>
  <c r="N24" i="9"/>
  <c r="L24" i="9"/>
  <c r="I24" i="9"/>
  <c r="G24" i="9"/>
  <c r="E24" i="9"/>
  <c r="V23" i="9"/>
  <c r="T23" i="9"/>
  <c r="R23" i="9"/>
  <c r="Q23" i="9"/>
  <c r="P23" i="9"/>
  <c r="N23" i="9"/>
  <c r="L23" i="9"/>
  <c r="I23" i="9"/>
  <c r="G23" i="9"/>
  <c r="E23" i="9"/>
  <c r="V22" i="9"/>
  <c r="T22" i="9"/>
  <c r="R22" i="9"/>
  <c r="Q22" i="9"/>
  <c r="U22" i="9" s="1"/>
  <c r="P22" i="9"/>
  <c r="N22" i="9"/>
  <c r="L22" i="9"/>
  <c r="I22" i="9"/>
  <c r="G22" i="9"/>
  <c r="E22" i="9"/>
  <c r="V21" i="9"/>
  <c r="T21" i="9"/>
  <c r="R21" i="9"/>
  <c r="Q21" i="9"/>
  <c r="U21" i="9" s="1"/>
  <c r="P21" i="9"/>
  <c r="N21" i="9"/>
  <c r="L21" i="9"/>
  <c r="I21" i="9"/>
  <c r="G21" i="9"/>
  <c r="E21" i="9"/>
  <c r="V20" i="9"/>
  <c r="T20" i="9"/>
  <c r="R20" i="9"/>
  <c r="Q20" i="9"/>
  <c r="P20" i="9"/>
  <c r="N20" i="9"/>
  <c r="L20" i="9"/>
  <c r="I20" i="9"/>
  <c r="G20" i="9"/>
  <c r="E20" i="9"/>
  <c r="V19" i="9"/>
  <c r="T19" i="9"/>
  <c r="R19" i="9"/>
  <c r="Q19" i="9"/>
  <c r="U19" i="9" s="1"/>
  <c r="P19" i="9"/>
  <c r="N19" i="9"/>
  <c r="L19" i="9"/>
  <c r="I19" i="9"/>
  <c r="G19" i="9"/>
  <c r="E19" i="9"/>
  <c r="V18" i="9"/>
  <c r="T18" i="9"/>
  <c r="R18" i="9"/>
  <c r="Q18" i="9"/>
  <c r="S18" i="9" s="1"/>
  <c r="P18" i="9"/>
  <c r="N18" i="9"/>
  <c r="L18" i="9"/>
  <c r="I18" i="9"/>
  <c r="G18" i="9"/>
  <c r="E18" i="9"/>
  <c r="V17" i="9"/>
  <c r="T17" i="9"/>
  <c r="S17" i="9"/>
  <c r="R17" i="9"/>
  <c r="Q17" i="9"/>
  <c r="W17" i="9" s="1"/>
  <c r="P17" i="9"/>
  <c r="N17" i="9"/>
  <c r="L17" i="9"/>
  <c r="I17" i="9"/>
  <c r="G17" i="9"/>
  <c r="E17" i="9"/>
  <c r="V16" i="9"/>
  <c r="T16" i="9"/>
  <c r="R16" i="9"/>
  <c r="Q16" i="9"/>
  <c r="P16" i="9"/>
  <c r="N16" i="9"/>
  <c r="L16" i="9"/>
  <c r="I16" i="9"/>
  <c r="G16" i="9"/>
  <c r="E16" i="9"/>
  <c r="V15" i="9"/>
  <c r="T15" i="9"/>
  <c r="R15" i="9"/>
  <c r="Q15" i="9"/>
  <c r="P15" i="9"/>
  <c r="N15" i="9"/>
  <c r="L15" i="9"/>
  <c r="I15" i="9"/>
  <c r="G15" i="9"/>
  <c r="E15" i="9"/>
  <c r="V14" i="9"/>
  <c r="T14" i="9"/>
  <c r="R14" i="9"/>
  <c r="Q14" i="9"/>
  <c r="U14" i="9" s="1"/>
  <c r="P14" i="9"/>
  <c r="N14" i="9"/>
  <c r="L14" i="9"/>
  <c r="I14" i="9"/>
  <c r="G14" i="9"/>
  <c r="E14" i="9"/>
  <c r="V13" i="9"/>
  <c r="T13" i="9"/>
  <c r="R13" i="9"/>
  <c r="Q13" i="9"/>
  <c r="P13" i="9"/>
  <c r="N13" i="9"/>
  <c r="L13" i="9"/>
  <c r="I13" i="9"/>
  <c r="G13" i="9"/>
  <c r="E13" i="9"/>
  <c r="V12" i="9"/>
  <c r="U12" i="9"/>
  <c r="T12" i="9"/>
  <c r="R12" i="9"/>
  <c r="Q12" i="9"/>
  <c r="P12" i="9"/>
  <c r="N12" i="9"/>
  <c r="L12" i="9"/>
  <c r="I12" i="9"/>
  <c r="G12" i="9"/>
  <c r="E12" i="9"/>
  <c r="V11" i="9"/>
  <c r="T11" i="9"/>
  <c r="R11" i="9"/>
  <c r="Q11" i="9"/>
  <c r="U11" i="9" s="1"/>
  <c r="P11" i="9"/>
  <c r="N11" i="9"/>
  <c r="L11" i="9"/>
  <c r="I11" i="9"/>
  <c r="G11" i="9"/>
  <c r="E11" i="9"/>
  <c r="V10" i="9"/>
  <c r="T10" i="9"/>
  <c r="R10" i="9"/>
  <c r="Q10" i="9"/>
  <c r="S10" i="9" s="1"/>
  <c r="P10" i="9"/>
  <c r="N10" i="9"/>
  <c r="L10" i="9"/>
  <c r="I10" i="9"/>
  <c r="G10" i="9"/>
  <c r="E10" i="9"/>
  <c r="W9" i="9"/>
  <c r="V9" i="9"/>
  <c r="T9" i="9"/>
  <c r="R9" i="9"/>
  <c r="Q9" i="9"/>
  <c r="S9" i="9" s="1"/>
  <c r="P9" i="9"/>
  <c r="N9" i="9"/>
  <c r="L9" i="9"/>
  <c r="I9" i="9"/>
  <c r="G9" i="9"/>
  <c r="E9" i="9"/>
  <c r="V6" i="9"/>
  <c r="T6" i="9"/>
  <c r="R6" i="9"/>
  <c r="Q6" i="9"/>
  <c r="P6" i="9"/>
  <c r="N6" i="9"/>
  <c r="L6" i="9"/>
  <c r="I6" i="9"/>
  <c r="G6" i="9"/>
  <c r="E6" i="9"/>
  <c r="V5" i="9"/>
  <c r="T5" i="9"/>
  <c r="R5" i="9"/>
  <c r="Q5" i="9"/>
  <c r="P5" i="9"/>
  <c r="N5" i="9"/>
  <c r="L5" i="9"/>
  <c r="I5" i="9"/>
  <c r="G5" i="9"/>
  <c r="E5" i="9"/>
  <c r="V4" i="9"/>
  <c r="W4" i="9" s="1"/>
  <c r="T4" i="9"/>
  <c r="R4" i="9"/>
  <c r="Q4" i="9"/>
  <c r="P4" i="9"/>
  <c r="N4" i="9"/>
  <c r="L4" i="9"/>
  <c r="I4" i="9"/>
  <c r="G4" i="9"/>
  <c r="E4" i="9"/>
  <c r="S28" i="11" l="1"/>
  <c r="U63" i="11"/>
  <c r="S63" i="11"/>
  <c r="W61" i="11"/>
  <c r="W50" i="11"/>
  <c r="S50" i="11"/>
  <c r="U23" i="11"/>
  <c r="S24" i="11"/>
  <c r="U24" i="11"/>
  <c r="S17" i="11"/>
  <c r="W5" i="11"/>
  <c r="S5" i="11"/>
  <c r="U45" i="9"/>
  <c r="U50" i="9"/>
  <c r="U57" i="9"/>
  <c r="W63" i="9"/>
  <c r="U13" i="9"/>
  <c r="U33" i="9"/>
  <c r="U35" i="9"/>
  <c r="U39" i="9"/>
  <c r="U41" i="9"/>
  <c r="U4" i="9"/>
  <c r="U20" i="9"/>
  <c r="W38" i="9"/>
  <c r="U47" i="9"/>
  <c r="U49" i="9"/>
  <c r="W49" i="9"/>
  <c r="S50" i="9"/>
  <c r="U61" i="9"/>
  <c r="U10" i="9"/>
  <c r="U18" i="9"/>
  <c r="W21" i="9"/>
  <c r="S22" i="9"/>
  <c r="W48" i="9"/>
  <c r="W13" i="9"/>
  <c r="S14" i="9"/>
  <c r="S21" i="9"/>
  <c r="W26" i="9"/>
  <c r="W29" i="9"/>
  <c r="S31" i="9"/>
  <c r="S34" i="9"/>
  <c r="W41" i="9"/>
  <c r="S42" i="9"/>
  <c r="W46" i="9"/>
  <c r="W56" i="9"/>
  <c r="S57" i="9"/>
  <c r="S4" i="9"/>
  <c r="S13" i="9"/>
  <c r="U16" i="9"/>
  <c r="W18" i="9"/>
  <c r="W22" i="9"/>
  <c r="W25" i="9"/>
  <c r="W37" i="9"/>
  <c r="S38" i="9"/>
  <c r="S41" i="9"/>
  <c r="S56" i="9"/>
  <c r="U6" i="9"/>
  <c r="W10" i="9"/>
  <c r="W14" i="9"/>
  <c r="S26" i="9"/>
  <c r="W42" i="9"/>
  <c r="W45" i="9"/>
  <c r="S46" i="9"/>
  <c r="S49" i="9"/>
  <c r="W57" i="9"/>
  <c r="W31" i="9"/>
  <c r="W50" i="9"/>
  <c r="W5" i="9"/>
  <c r="S5" i="9"/>
  <c r="W36" i="9"/>
  <c r="S36" i="9"/>
  <c r="W43" i="9"/>
  <c r="S43" i="9"/>
  <c r="W35" i="9"/>
  <c r="S35" i="9"/>
  <c r="W61" i="9"/>
  <c r="S61" i="9"/>
  <c r="U9" i="9"/>
  <c r="W11" i="9"/>
  <c r="S11" i="9"/>
  <c r="U17" i="9"/>
  <c r="W19" i="9"/>
  <c r="S19" i="9"/>
  <c r="U25" i="9"/>
  <c r="W52" i="9"/>
  <c r="S52" i="9"/>
  <c r="W15" i="9"/>
  <c r="S15" i="9"/>
  <c r="W23" i="9"/>
  <c r="S23" i="9"/>
  <c r="W12" i="9"/>
  <c r="S12" i="9"/>
  <c r="W20" i="9"/>
  <c r="S20" i="9"/>
  <c r="W39" i="9"/>
  <c r="S39" i="9"/>
  <c r="U5" i="9"/>
  <c r="W6" i="9"/>
  <c r="S6" i="9"/>
  <c r="U15" i="9"/>
  <c r="W16" i="9"/>
  <c r="S16" i="9"/>
  <c r="U23" i="9"/>
  <c r="W24" i="9"/>
  <c r="S24" i="9"/>
  <c r="U29" i="9"/>
  <c r="W33" i="9"/>
  <c r="S33" i="9"/>
  <c r="U36" i="9"/>
  <c r="U37" i="9"/>
  <c r="U43" i="9"/>
  <c r="W47" i="9"/>
  <c r="S47" i="9"/>
  <c r="U40" i="9"/>
  <c r="U44" i="9"/>
  <c r="U48" i="9"/>
  <c r="U54" i="9"/>
  <c r="U63" i="9"/>
  <c r="S40" i="9"/>
  <c r="S44" i="9"/>
  <c r="S48" i="9"/>
  <c r="S54" i="9"/>
  <c r="S63" i="9"/>
  <c r="G32" i="7" l="1"/>
  <c r="V62" i="7" l="1"/>
  <c r="T62" i="7"/>
  <c r="R62" i="7"/>
  <c r="Q62" i="7"/>
  <c r="W62" i="7" s="1"/>
  <c r="P62" i="7"/>
  <c r="N62" i="7"/>
  <c r="L62" i="7"/>
  <c r="I62" i="7"/>
  <c r="G62" i="7"/>
  <c r="E62" i="7"/>
  <c r="V58" i="7"/>
  <c r="T58" i="7"/>
  <c r="R58" i="7"/>
  <c r="Q58" i="7"/>
  <c r="P58" i="7"/>
  <c r="N58" i="7"/>
  <c r="L58" i="7"/>
  <c r="I58" i="7"/>
  <c r="G58" i="7"/>
  <c r="E58" i="7"/>
  <c r="V57" i="7"/>
  <c r="T57" i="7"/>
  <c r="R57" i="7"/>
  <c r="Q57" i="7"/>
  <c r="U57" i="7" s="1"/>
  <c r="P57" i="7"/>
  <c r="N57" i="7"/>
  <c r="L57" i="7"/>
  <c r="I57" i="7"/>
  <c r="G57" i="7"/>
  <c r="E57" i="7"/>
  <c r="V55" i="7"/>
  <c r="T55" i="7"/>
  <c r="R55" i="7"/>
  <c r="Q55" i="7"/>
  <c r="P55" i="7"/>
  <c r="N55" i="7"/>
  <c r="L55" i="7"/>
  <c r="I55" i="7"/>
  <c r="G55" i="7"/>
  <c r="E55" i="7"/>
  <c r="V53" i="7"/>
  <c r="T53" i="7"/>
  <c r="R53" i="7"/>
  <c r="Q53" i="7"/>
  <c r="P53" i="7"/>
  <c r="N53" i="7"/>
  <c r="L53" i="7"/>
  <c r="I53" i="7"/>
  <c r="G53" i="7"/>
  <c r="E53" i="7"/>
  <c r="V51" i="7"/>
  <c r="T51" i="7"/>
  <c r="R51" i="7"/>
  <c r="Q51" i="7"/>
  <c r="P51" i="7"/>
  <c r="N51" i="7"/>
  <c r="L51" i="7"/>
  <c r="I51" i="7"/>
  <c r="G51" i="7"/>
  <c r="E51" i="7"/>
  <c r="V50" i="7"/>
  <c r="T50" i="7"/>
  <c r="R50" i="7"/>
  <c r="Q50" i="7"/>
  <c r="P50" i="7"/>
  <c r="N50" i="7"/>
  <c r="L50" i="7"/>
  <c r="I50" i="7"/>
  <c r="G50" i="7"/>
  <c r="E50" i="7"/>
  <c r="V49" i="7"/>
  <c r="T49" i="7"/>
  <c r="R49" i="7"/>
  <c r="Q49" i="7"/>
  <c r="P49" i="7"/>
  <c r="N49" i="7"/>
  <c r="L49" i="7"/>
  <c r="I49" i="7"/>
  <c r="G49" i="7"/>
  <c r="E49" i="7"/>
  <c r="V48" i="7"/>
  <c r="T48" i="7"/>
  <c r="R48" i="7"/>
  <c r="Q48" i="7"/>
  <c r="P48" i="7"/>
  <c r="N48" i="7"/>
  <c r="L48" i="7"/>
  <c r="I48" i="7"/>
  <c r="G48" i="7"/>
  <c r="E48" i="7"/>
  <c r="V47" i="7"/>
  <c r="T47" i="7"/>
  <c r="R47" i="7"/>
  <c r="Q47" i="7"/>
  <c r="P47" i="7"/>
  <c r="N47" i="7"/>
  <c r="L47" i="7"/>
  <c r="I47" i="7"/>
  <c r="G47" i="7"/>
  <c r="E47" i="7"/>
  <c r="V46" i="7"/>
  <c r="T46" i="7"/>
  <c r="R46" i="7"/>
  <c r="Q46" i="7"/>
  <c r="P46" i="7"/>
  <c r="N46" i="7"/>
  <c r="L46" i="7"/>
  <c r="I46" i="7"/>
  <c r="G46" i="7"/>
  <c r="E46" i="7"/>
  <c r="V45" i="7"/>
  <c r="T45" i="7"/>
  <c r="R45" i="7"/>
  <c r="Q45" i="7"/>
  <c r="P45" i="7"/>
  <c r="N45" i="7"/>
  <c r="L45" i="7"/>
  <c r="I45" i="7"/>
  <c r="G45" i="7"/>
  <c r="E45" i="7"/>
  <c r="V44" i="7"/>
  <c r="T44" i="7"/>
  <c r="R44" i="7"/>
  <c r="Q44" i="7"/>
  <c r="P44" i="7"/>
  <c r="N44" i="7"/>
  <c r="L44" i="7"/>
  <c r="I44" i="7"/>
  <c r="G44" i="7"/>
  <c r="E44" i="7"/>
  <c r="V43" i="7"/>
  <c r="T43" i="7"/>
  <c r="R43" i="7"/>
  <c r="Q43" i="7"/>
  <c r="P43" i="7"/>
  <c r="N43" i="7"/>
  <c r="L43" i="7"/>
  <c r="I43" i="7"/>
  <c r="G43" i="7"/>
  <c r="E43" i="7"/>
  <c r="V42" i="7"/>
  <c r="T42" i="7"/>
  <c r="R42" i="7"/>
  <c r="Q42" i="7"/>
  <c r="P42" i="7"/>
  <c r="N42" i="7"/>
  <c r="L42" i="7"/>
  <c r="I42" i="7"/>
  <c r="G42" i="7"/>
  <c r="E42" i="7"/>
  <c r="V41" i="7"/>
  <c r="T41" i="7"/>
  <c r="R41" i="7"/>
  <c r="Q41" i="7"/>
  <c r="P41" i="7"/>
  <c r="N41" i="7"/>
  <c r="L41" i="7"/>
  <c r="I41" i="7"/>
  <c r="G41" i="7"/>
  <c r="E41" i="7"/>
  <c r="V40" i="7"/>
  <c r="T40" i="7"/>
  <c r="R40" i="7"/>
  <c r="Q40" i="7"/>
  <c r="W40" i="7" s="1"/>
  <c r="P40" i="7"/>
  <c r="N40" i="7"/>
  <c r="L40" i="7"/>
  <c r="I40" i="7"/>
  <c r="G40" i="7"/>
  <c r="E40" i="7"/>
  <c r="V39" i="7"/>
  <c r="T39" i="7"/>
  <c r="R39" i="7"/>
  <c r="Q39" i="7"/>
  <c r="P39" i="7"/>
  <c r="N39" i="7"/>
  <c r="L39" i="7"/>
  <c r="I39" i="7"/>
  <c r="G39" i="7"/>
  <c r="E39" i="7"/>
  <c r="V38" i="7"/>
  <c r="T38" i="7"/>
  <c r="R38" i="7"/>
  <c r="Q38" i="7"/>
  <c r="U38" i="7" s="1"/>
  <c r="P38" i="7"/>
  <c r="N38" i="7"/>
  <c r="L38" i="7"/>
  <c r="I38" i="7"/>
  <c r="G38" i="7"/>
  <c r="E38" i="7"/>
  <c r="V37" i="7"/>
  <c r="T37" i="7"/>
  <c r="R37" i="7"/>
  <c r="Q37" i="7"/>
  <c r="P37" i="7"/>
  <c r="N37" i="7"/>
  <c r="L37" i="7"/>
  <c r="I37" i="7"/>
  <c r="G37" i="7"/>
  <c r="E37" i="7"/>
  <c r="V36" i="7"/>
  <c r="T36" i="7"/>
  <c r="R36" i="7"/>
  <c r="Q36" i="7"/>
  <c r="P36" i="7"/>
  <c r="N36" i="7"/>
  <c r="L36" i="7"/>
  <c r="I36" i="7"/>
  <c r="G36" i="7"/>
  <c r="E36" i="7"/>
  <c r="R35" i="7"/>
  <c r="Q35" i="7"/>
  <c r="S35" i="7" s="1"/>
  <c r="P35" i="7"/>
  <c r="N35" i="7"/>
  <c r="L35" i="7"/>
  <c r="E35" i="7"/>
  <c r="V34" i="7"/>
  <c r="T34" i="7"/>
  <c r="R34" i="7"/>
  <c r="Q34" i="7"/>
  <c r="P34" i="7"/>
  <c r="N34" i="7"/>
  <c r="L34" i="7"/>
  <c r="I34" i="7"/>
  <c r="G34" i="7"/>
  <c r="E34" i="7"/>
  <c r="V32" i="7"/>
  <c r="T32" i="7"/>
  <c r="R32" i="7"/>
  <c r="Q32" i="7"/>
  <c r="P32" i="7"/>
  <c r="N32" i="7"/>
  <c r="L32" i="7"/>
  <c r="I32" i="7"/>
  <c r="E32" i="7"/>
  <c r="V30" i="7"/>
  <c r="T30" i="7"/>
  <c r="R30" i="7"/>
  <c r="Q30" i="7"/>
  <c r="P30" i="7"/>
  <c r="N30" i="7"/>
  <c r="L30" i="7"/>
  <c r="I30" i="7"/>
  <c r="G30" i="7"/>
  <c r="E30" i="7"/>
  <c r="T29" i="7"/>
  <c r="R29" i="7"/>
  <c r="Q29" i="7"/>
  <c r="P29" i="7"/>
  <c r="N29" i="7"/>
  <c r="L29" i="7"/>
  <c r="G29" i="7"/>
  <c r="E29" i="7"/>
  <c r="V27" i="7"/>
  <c r="T27" i="7"/>
  <c r="R27" i="7"/>
  <c r="Q27" i="7"/>
  <c r="P27" i="7"/>
  <c r="N27" i="7"/>
  <c r="L27" i="7"/>
  <c r="I27" i="7"/>
  <c r="G27" i="7"/>
  <c r="E27" i="7"/>
  <c r="V26" i="7"/>
  <c r="T26" i="7"/>
  <c r="R26" i="7"/>
  <c r="Q26" i="7"/>
  <c r="P26" i="7"/>
  <c r="N26" i="7"/>
  <c r="L26" i="7"/>
  <c r="I26" i="7"/>
  <c r="G26" i="7"/>
  <c r="E26" i="7"/>
  <c r="V25" i="7"/>
  <c r="T25" i="7"/>
  <c r="R25" i="7"/>
  <c r="Q25" i="7"/>
  <c r="P25" i="7"/>
  <c r="N25" i="7"/>
  <c r="L25" i="7"/>
  <c r="I25" i="7"/>
  <c r="G25" i="7"/>
  <c r="E25" i="7"/>
  <c r="V24" i="7"/>
  <c r="T24" i="7"/>
  <c r="R24" i="7"/>
  <c r="Q24" i="7"/>
  <c r="P24" i="7"/>
  <c r="N24" i="7"/>
  <c r="L24" i="7"/>
  <c r="I24" i="7"/>
  <c r="G24" i="7"/>
  <c r="E24" i="7"/>
  <c r="V23" i="7"/>
  <c r="T23" i="7"/>
  <c r="R23" i="7"/>
  <c r="Q23" i="7"/>
  <c r="P23" i="7"/>
  <c r="N23" i="7"/>
  <c r="L23" i="7"/>
  <c r="I23" i="7"/>
  <c r="G23" i="7"/>
  <c r="E23" i="7"/>
  <c r="V22" i="7"/>
  <c r="T22" i="7"/>
  <c r="R22" i="7"/>
  <c r="Q22" i="7"/>
  <c r="P22" i="7"/>
  <c r="N22" i="7"/>
  <c r="L22" i="7"/>
  <c r="I22" i="7"/>
  <c r="G22" i="7"/>
  <c r="E22" i="7"/>
  <c r="V21" i="7"/>
  <c r="T21" i="7"/>
  <c r="R21" i="7"/>
  <c r="Q21" i="7"/>
  <c r="P21" i="7"/>
  <c r="N21" i="7"/>
  <c r="L21" i="7"/>
  <c r="I21" i="7"/>
  <c r="G21" i="7"/>
  <c r="E21" i="7"/>
  <c r="V20" i="7"/>
  <c r="T20" i="7"/>
  <c r="R20" i="7"/>
  <c r="Q20" i="7"/>
  <c r="P20" i="7"/>
  <c r="N20" i="7"/>
  <c r="L20" i="7"/>
  <c r="I20" i="7"/>
  <c r="G20" i="7"/>
  <c r="E20" i="7"/>
  <c r="V19" i="7"/>
  <c r="T19" i="7"/>
  <c r="R19" i="7"/>
  <c r="Q19" i="7"/>
  <c r="P19" i="7"/>
  <c r="N19" i="7"/>
  <c r="L19" i="7"/>
  <c r="I19" i="7"/>
  <c r="G19" i="7"/>
  <c r="E19" i="7"/>
  <c r="V18" i="7"/>
  <c r="T18" i="7"/>
  <c r="R18" i="7"/>
  <c r="Q18" i="7"/>
  <c r="P18" i="7"/>
  <c r="N18" i="7"/>
  <c r="L18" i="7"/>
  <c r="I18" i="7"/>
  <c r="G18" i="7"/>
  <c r="E18" i="7"/>
  <c r="V17" i="7"/>
  <c r="T17" i="7"/>
  <c r="R17" i="7"/>
  <c r="Q17" i="7"/>
  <c r="P17" i="7"/>
  <c r="N17" i="7"/>
  <c r="L17" i="7"/>
  <c r="I17" i="7"/>
  <c r="G17" i="7"/>
  <c r="E17" i="7"/>
  <c r="V16" i="7"/>
  <c r="T16" i="7"/>
  <c r="R16" i="7"/>
  <c r="Q16" i="7"/>
  <c r="P16" i="7"/>
  <c r="N16" i="7"/>
  <c r="L16" i="7"/>
  <c r="I16" i="7"/>
  <c r="G16" i="7"/>
  <c r="E16" i="7"/>
  <c r="V15" i="7"/>
  <c r="T15" i="7"/>
  <c r="R15" i="7"/>
  <c r="Q15" i="7"/>
  <c r="P15" i="7"/>
  <c r="N15" i="7"/>
  <c r="L15" i="7"/>
  <c r="I15" i="7"/>
  <c r="G15" i="7"/>
  <c r="E15" i="7"/>
  <c r="V14" i="7"/>
  <c r="T14" i="7"/>
  <c r="R14" i="7"/>
  <c r="Q14" i="7"/>
  <c r="P14" i="7"/>
  <c r="N14" i="7"/>
  <c r="L14" i="7"/>
  <c r="I14" i="7"/>
  <c r="G14" i="7"/>
  <c r="E14" i="7"/>
  <c r="V13" i="7"/>
  <c r="W13" i="7" s="1"/>
  <c r="T13" i="7"/>
  <c r="R13" i="7"/>
  <c r="Q13" i="7"/>
  <c r="P13" i="7"/>
  <c r="N13" i="7"/>
  <c r="L13" i="7"/>
  <c r="I13" i="7"/>
  <c r="G13" i="7"/>
  <c r="E13" i="7"/>
  <c r="V12" i="7"/>
  <c r="T12" i="7"/>
  <c r="R12" i="7"/>
  <c r="Q12" i="7"/>
  <c r="P12" i="7"/>
  <c r="N12" i="7"/>
  <c r="L12" i="7"/>
  <c r="I12" i="7"/>
  <c r="G12" i="7"/>
  <c r="E12" i="7"/>
  <c r="V11" i="7"/>
  <c r="T11" i="7"/>
  <c r="R11" i="7"/>
  <c r="Q11" i="7"/>
  <c r="W11" i="7" s="1"/>
  <c r="P11" i="7"/>
  <c r="N11" i="7"/>
  <c r="L11" i="7"/>
  <c r="I11" i="7"/>
  <c r="G11" i="7"/>
  <c r="E11" i="7"/>
  <c r="V10" i="7"/>
  <c r="T10" i="7"/>
  <c r="R10" i="7"/>
  <c r="Q10" i="7"/>
  <c r="P10" i="7"/>
  <c r="N10" i="7"/>
  <c r="L10" i="7"/>
  <c r="I10" i="7"/>
  <c r="G10" i="7"/>
  <c r="E10" i="7"/>
  <c r="V7" i="7"/>
  <c r="T7" i="7"/>
  <c r="R7" i="7"/>
  <c r="Q7" i="7"/>
  <c r="P7" i="7"/>
  <c r="N7" i="7"/>
  <c r="L7" i="7"/>
  <c r="I7" i="7"/>
  <c r="G7" i="7"/>
  <c r="E7" i="7"/>
  <c r="V6" i="7"/>
  <c r="T6" i="7"/>
  <c r="R6" i="7"/>
  <c r="Q6" i="7"/>
  <c r="P6" i="7"/>
  <c r="N6" i="7"/>
  <c r="L6" i="7"/>
  <c r="I6" i="7"/>
  <c r="G6" i="7"/>
  <c r="E6" i="7"/>
  <c r="V5" i="7"/>
  <c r="T5" i="7"/>
  <c r="R5" i="7"/>
  <c r="Q5" i="7"/>
  <c r="P5" i="7"/>
  <c r="N5" i="7"/>
  <c r="L5" i="7"/>
  <c r="I5" i="7"/>
  <c r="G5" i="7"/>
  <c r="E5" i="7"/>
  <c r="V4" i="7"/>
  <c r="T4" i="7"/>
  <c r="R4" i="7"/>
  <c r="Q4" i="7"/>
  <c r="U4" i="7" s="1"/>
  <c r="P4" i="7"/>
  <c r="N4" i="7"/>
  <c r="L4" i="7"/>
  <c r="I4" i="7"/>
  <c r="G4" i="7"/>
  <c r="E4" i="7"/>
  <c r="W18" i="7" l="1"/>
  <c r="S50" i="7"/>
  <c r="S14" i="7"/>
  <c r="S26" i="7"/>
  <c r="S30" i="7"/>
  <c r="U45" i="7"/>
  <c r="W47" i="7"/>
  <c r="U49" i="7"/>
  <c r="W12" i="7"/>
  <c r="U13" i="7"/>
  <c r="U23" i="7"/>
  <c r="U25" i="7"/>
  <c r="W42" i="7"/>
  <c r="U58" i="7"/>
  <c r="S57" i="7"/>
  <c r="W57" i="7"/>
  <c r="U55" i="7"/>
  <c r="W55" i="7"/>
  <c r="S55" i="7"/>
  <c r="W53" i="7"/>
  <c r="W51" i="7"/>
  <c r="U50" i="7"/>
  <c r="W50" i="7"/>
  <c r="S49" i="7"/>
  <c r="W49" i="7"/>
  <c r="W48" i="7"/>
  <c r="U46" i="7"/>
  <c r="W46" i="7"/>
  <c r="S46" i="7"/>
  <c r="S45" i="7"/>
  <c r="W45" i="7"/>
  <c r="W44" i="7"/>
  <c r="U43" i="7"/>
  <c r="U42" i="7"/>
  <c r="S42" i="7"/>
  <c r="U41" i="7"/>
  <c r="W41" i="7"/>
  <c r="S41" i="7"/>
  <c r="W39" i="7"/>
  <c r="S38" i="7"/>
  <c r="W38" i="7"/>
  <c r="U37" i="7"/>
  <c r="W37" i="7"/>
  <c r="S37" i="7"/>
  <c r="W36" i="7"/>
  <c r="W34" i="7"/>
  <c r="W32" i="7"/>
  <c r="U30" i="7"/>
  <c r="W30" i="7"/>
  <c r="U29" i="7"/>
  <c r="W27" i="7"/>
  <c r="U26" i="7"/>
  <c r="W26" i="7"/>
  <c r="S25" i="7"/>
  <c r="W25" i="7"/>
  <c r="W24" i="7"/>
  <c r="W22" i="7"/>
  <c r="U22" i="7"/>
  <c r="S22" i="7"/>
  <c r="U21" i="7"/>
  <c r="S21" i="7"/>
  <c r="W21" i="7"/>
  <c r="W20" i="7"/>
  <c r="U19" i="7"/>
  <c r="U18" i="7"/>
  <c r="S18" i="7"/>
  <c r="U17" i="7"/>
  <c r="W17" i="7"/>
  <c r="S17" i="7"/>
  <c r="W16" i="7"/>
  <c r="U15" i="7"/>
  <c r="W14" i="7"/>
  <c r="U14" i="7"/>
  <c r="S13" i="7"/>
  <c r="U10" i="7"/>
  <c r="W10" i="7"/>
  <c r="S10" i="7"/>
  <c r="S7" i="7"/>
  <c r="W7" i="7"/>
  <c r="U7" i="7"/>
  <c r="W6" i="7"/>
  <c r="S5" i="7"/>
  <c r="S4" i="7"/>
  <c r="W4" i="7"/>
  <c r="U11" i="7"/>
  <c r="U27" i="7"/>
  <c r="U32" i="7"/>
  <c r="U39" i="7"/>
  <c r="U47" i="7"/>
  <c r="U51" i="7"/>
  <c r="U6" i="7"/>
  <c r="U34" i="7"/>
  <c r="U36" i="7"/>
  <c r="U44" i="7"/>
  <c r="W5" i="7"/>
  <c r="S11" i="7"/>
  <c r="S15" i="7"/>
  <c r="W15" i="7"/>
  <c r="S19" i="7"/>
  <c r="W19" i="7"/>
  <c r="S23" i="7"/>
  <c r="W23" i="7"/>
  <c r="S27" i="7"/>
  <c r="S29" i="7"/>
  <c r="S32" i="7"/>
  <c r="S39" i="7"/>
  <c r="S43" i="7"/>
  <c r="W43" i="7"/>
  <c r="S47" i="7"/>
  <c r="S51" i="7"/>
  <c r="S58" i="7"/>
  <c r="W58" i="7"/>
  <c r="U5" i="7"/>
  <c r="U12" i="7"/>
  <c r="U16" i="7"/>
  <c r="U20" i="7"/>
  <c r="U24" i="7"/>
  <c r="U40" i="7"/>
  <c r="U48" i="7"/>
  <c r="U53" i="7"/>
  <c r="U62" i="7"/>
  <c r="S6" i="7"/>
  <c r="S12" i="7"/>
  <c r="S16" i="7"/>
  <c r="S20" i="7"/>
  <c r="S24" i="7"/>
  <c r="S34" i="7"/>
  <c r="S36" i="7"/>
  <c r="S40" i="7"/>
  <c r="S44" i="7"/>
  <c r="S48" i="7"/>
  <c r="S53" i="7"/>
  <c r="S62" i="7"/>
  <c r="E4" i="5"/>
  <c r="G57" i="5"/>
  <c r="N22" i="5"/>
  <c r="G22" i="5"/>
  <c r="N20" i="5"/>
  <c r="G20" i="5"/>
  <c r="V62" i="5"/>
  <c r="T62" i="5"/>
  <c r="R62" i="5"/>
  <c r="Q62" i="5"/>
  <c r="U62" i="5" s="1"/>
  <c r="P62" i="5"/>
  <c r="N62" i="5"/>
  <c r="L62" i="5"/>
  <c r="I62" i="5"/>
  <c r="G62" i="5"/>
  <c r="E62" i="5"/>
  <c r="V58" i="5"/>
  <c r="T58" i="5"/>
  <c r="R58" i="5"/>
  <c r="Q58" i="5"/>
  <c r="P58" i="5"/>
  <c r="N58" i="5"/>
  <c r="L58" i="5"/>
  <c r="I58" i="5"/>
  <c r="G58" i="5"/>
  <c r="E58" i="5"/>
  <c r="V57" i="5"/>
  <c r="T57" i="5"/>
  <c r="R57" i="5"/>
  <c r="Q57" i="5"/>
  <c r="P57" i="5"/>
  <c r="N57" i="5"/>
  <c r="L57" i="5"/>
  <c r="I57" i="5"/>
  <c r="E57" i="5"/>
  <c r="V55" i="5"/>
  <c r="T55" i="5"/>
  <c r="R55" i="5"/>
  <c r="Q55" i="5"/>
  <c r="W55" i="5" s="1"/>
  <c r="P55" i="5"/>
  <c r="N55" i="5"/>
  <c r="L55" i="5"/>
  <c r="I55" i="5"/>
  <c r="G55" i="5"/>
  <c r="E55" i="5"/>
  <c r="V53" i="5"/>
  <c r="T53" i="5"/>
  <c r="R53" i="5"/>
  <c r="Q53" i="5"/>
  <c r="P53" i="5"/>
  <c r="N53" i="5"/>
  <c r="L53" i="5"/>
  <c r="I53" i="5"/>
  <c r="G53" i="5"/>
  <c r="E53" i="5"/>
  <c r="V51" i="5"/>
  <c r="T51" i="5"/>
  <c r="R51" i="5"/>
  <c r="Q51" i="5"/>
  <c r="P51" i="5"/>
  <c r="N51" i="5"/>
  <c r="L51" i="5"/>
  <c r="I51" i="5"/>
  <c r="G51" i="5"/>
  <c r="E51" i="5"/>
  <c r="V50" i="5"/>
  <c r="T50" i="5"/>
  <c r="R50" i="5"/>
  <c r="Q50" i="5"/>
  <c r="W50" i="5" s="1"/>
  <c r="S50" i="5"/>
  <c r="P50" i="5"/>
  <c r="N50" i="5"/>
  <c r="L50" i="5"/>
  <c r="I50" i="5"/>
  <c r="G50" i="5"/>
  <c r="E50" i="5"/>
  <c r="V49" i="5"/>
  <c r="T49" i="5"/>
  <c r="R49" i="5"/>
  <c r="Q49" i="5"/>
  <c r="P49" i="5"/>
  <c r="N49" i="5"/>
  <c r="L49" i="5"/>
  <c r="I49" i="5"/>
  <c r="G49" i="5"/>
  <c r="E49" i="5"/>
  <c r="V48" i="5"/>
  <c r="T48" i="5"/>
  <c r="R48" i="5"/>
  <c r="Q48" i="5"/>
  <c r="W48" i="5" s="1"/>
  <c r="P48" i="5"/>
  <c r="N48" i="5"/>
  <c r="L48" i="5"/>
  <c r="I48" i="5"/>
  <c r="G48" i="5"/>
  <c r="E48" i="5"/>
  <c r="V47" i="5"/>
  <c r="T47" i="5"/>
  <c r="R47" i="5"/>
  <c r="Q47" i="5"/>
  <c r="P47" i="5"/>
  <c r="N47" i="5"/>
  <c r="L47" i="5"/>
  <c r="I47" i="5"/>
  <c r="G47" i="5"/>
  <c r="E47" i="5"/>
  <c r="V46" i="5"/>
  <c r="T46" i="5"/>
  <c r="R46" i="5"/>
  <c r="Q46" i="5"/>
  <c r="W46" i="5" s="1"/>
  <c r="P46" i="5"/>
  <c r="N46" i="5"/>
  <c r="L46" i="5"/>
  <c r="I46" i="5"/>
  <c r="G46" i="5"/>
  <c r="E46" i="5"/>
  <c r="V45" i="5"/>
  <c r="T45" i="5"/>
  <c r="R45" i="5"/>
  <c r="Q45" i="5"/>
  <c r="P45" i="5"/>
  <c r="N45" i="5"/>
  <c r="L45" i="5"/>
  <c r="I45" i="5"/>
  <c r="G45" i="5"/>
  <c r="E45" i="5"/>
  <c r="V44" i="5"/>
  <c r="T44" i="5"/>
  <c r="U44" i="5" s="1"/>
  <c r="R44" i="5"/>
  <c r="Q44" i="5"/>
  <c r="P44" i="5"/>
  <c r="N44" i="5"/>
  <c r="L44" i="5"/>
  <c r="I44" i="5"/>
  <c r="G44" i="5"/>
  <c r="E44" i="5"/>
  <c r="V43" i="5"/>
  <c r="T43" i="5"/>
  <c r="R43" i="5"/>
  <c r="Q43" i="5"/>
  <c r="P43" i="5"/>
  <c r="N43" i="5"/>
  <c r="L43" i="5"/>
  <c r="I43" i="5"/>
  <c r="G43" i="5"/>
  <c r="E43" i="5"/>
  <c r="V42" i="5"/>
  <c r="W42" i="5" s="1"/>
  <c r="T42" i="5"/>
  <c r="U42" i="5" s="1"/>
  <c r="R42" i="5"/>
  <c r="Q42" i="5"/>
  <c r="P42" i="5"/>
  <c r="N42" i="5"/>
  <c r="L42" i="5"/>
  <c r="I42" i="5"/>
  <c r="G42" i="5"/>
  <c r="E42" i="5"/>
  <c r="V41" i="5"/>
  <c r="T41" i="5"/>
  <c r="R41" i="5"/>
  <c r="Q41" i="5"/>
  <c r="P41" i="5"/>
  <c r="N41" i="5"/>
  <c r="L41" i="5"/>
  <c r="I41" i="5"/>
  <c r="G41" i="5"/>
  <c r="E41" i="5"/>
  <c r="V40" i="5"/>
  <c r="W40" i="5" s="1"/>
  <c r="T40" i="5"/>
  <c r="R40" i="5"/>
  <c r="Q40" i="5"/>
  <c r="U40" i="5"/>
  <c r="P40" i="5"/>
  <c r="N40" i="5"/>
  <c r="L40" i="5"/>
  <c r="I40" i="5"/>
  <c r="G40" i="5"/>
  <c r="E40" i="5"/>
  <c r="V39" i="5"/>
  <c r="T39" i="5"/>
  <c r="R39" i="5"/>
  <c r="S39" i="5" s="1"/>
  <c r="Q39" i="5"/>
  <c r="P39" i="5"/>
  <c r="N39" i="5"/>
  <c r="L39" i="5"/>
  <c r="I39" i="5"/>
  <c r="G39" i="5"/>
  <c r="E39" i="5"/>
  <c r="V38" i="5"/>
  <c r="T38" i="5"/>
  <c r="R38" i="5"/>
  <c r="Q38" i="5"/>
  <c r="P38" i="5"/>
  <c r="N38" i="5"/>
  <c r="L38" i="5"/>
  <c r="I38" i="5"/>
  <c r="G38" i="5"/>
  <c r="E38" i="5"/>
  <c r="V37" i="5"/>
  <c r="T37" i="5"/>
  <c r="R37" i="5"/>
  <c r="Q37" i="5"/>
  <c r="P37" i="5"/>
  <c r="N37" i="5"/>
  <c r="L37" i="5"/>
  <c r="I37" i="5"/>
  <c r="G37" i="5"/>
  <c r="E37" i="5"/>
  <c r="V36" i="5"/>
  <c r="T36" i="5"/>
  <c r="R36" i="5"/>
  <c r="Q36" i="5"/>
  <c r="P36" i="5"/>
  <c r="N36" i="5"/>
  <c r="L36" i="5"/>
  <c r="I36" i="5"/>
  <c r="G36" i="5"/>
  <c r="E36" i="5"/>
  <c r="R35" i="5"/>
  <c r="Q35" i="5"/>
  <c r="S35" i="5" s="1"/>
  <c r="P35" i="5"/>
  <c r="N35" i="5"/>
  <c r="L35" i="5"/>
  <c r="E35" i="5"/>
  <c r="V34" i="5"/>
  <c r="T34" i="5"/>
  <c r="U34" i="5" s="1"/>
  <c r="R34" i="5"/>
  <c r="Q34" i="5"/>
  <c r="W34" i="5" s="1"/>
  <c r="P34" i="5"/>
  <c r="N34" i="5"/>
  <c r="L34" i="5"/>
  <c r="I34" i="5"/>
  <c r="G34" i="5"/>
  <c r="E34" i="5"/>
  <c r="V32" i="5"/>
  <c r="T32" i="5"/>
  <c r="R32" i="5"/>
  <c r="Q32" i="5"/>
  <c r="P32" i="5"/>
  <c r="N32" i="5"/>
  <c r="L32" i="5"/>
  <c r="I32" i="5"/>
  <c r="G32" i="5"/>
  <c r="E32" i="5"/>
  <c r="V30" i="5"/>
  <c r="T30" i="5"/>
  <c r="U30" i="5" s="1"/>
  <c r="R30" i="5"/>
  <c r="Q30" i="5"/>
  <c r="W30" i="5" s="1"/>
  <c r="P30" i="5"/>
  <c r="N30" i="5"/>
  <c r="L30" i="5"/>
  <c r="I30" i="5"/>
  <c r="G30" i="5"/>
  <c r="E30" i="5"/>
  <c r="T29" i="5"/>
  <c r="R29" i="5"/>
  <c r="Q29" i="5"/>
  <c r="P29" i="5"/>
  <c r="N29" i="5"/>
  <c r="L29" i="5"/>
  <c r="G29" i="5"/>
  <c r="E29" i="5"/>
  <c r="V27" i="5"/>
  <c r="T27" i="5"/>
  <c r="R27" i="5"/>
  <c r="Q27" i="5"/>
  <c r="W27" i="5" s="1"/>
  <c r="P27" i="5"/>
  <c r="N27" i="5"/>
  <c r="L27" i="5"/>
  <c r="I27" i="5"/>
  <c r="G27" i="5"/>
  <c r="E27" i="5"/>
  <c r="V26" i="5"/>
  <c r="T26" i="5"/>
  <c r="R26" i="5"/>
  <c r="Q26" i="5"/>
  <c r="W26" i="5" s="1"/>
  <c r="P26" i="5"/>
  <c r="N26" i="5"/>
  <c r="L26" i="5"/>
  <c r="I26" i="5"/>
  <c r="G26" i="5"/>
  <c r="E26" i="5"/>
  <c r="V25" i="5"/>
  <c r="T25" i="5"/>
  <c r="R25" i="5"/>
  <c r="Q25" i="5"/>
  <c r="P25" i="5"/>
  <c r="N25" i="5"/>
  <c r="L25" i="5"/>
  <c r="I25" i="5"/>
  <c r="G25" i="5"/>
  <c r="E25" i="5"/>
  <c r="V24" i="5"/>
  <c r="T24" i="5"/>
  <c r="R24" i="5"/>
  <c r="Q24" i="5"/>
  <c r="P24" i="5"/>
  <c r="N24" i="5"/>
  <c r="L24" i="5"/>
  <c r="I24" i="5"/>
  <c r="G24" i="5"/>
  <c r="E24" i="5"/>
  <c r="V23" i="5"/>
  <c r="T23" i="5"/>
  <c r="U23" i="5" s="1"/>
  <c r="R23" i="5"/>
  <c r="S23" i="5" s="1"/>
  <c r="Q23" i="5"/>
  <c r="P23" i="5"/>
  <c r="N23" i="5"/>
  <c r="L23" i="5"/>
  <c r="I23" i="5"/>
  <c r="G23" i="5"/>
  <c r="E23" i="5"/>
  <c r="V22" i="5"/>
  <c r="T22" i="5"/>
  <c r="R22" i="5"/>
  <c r="Q22" i="5"/>
  <c r="S22" i="5" s="1"/>
  <c r="P22" i="5"/>
  <c r="L22" i="5"/>
  <c r="I22" i="5"/>
  <c r="E22" i="5"/>
  <c r="V21" i="5"/>
  <c r="T21" i="5"/>
  <c r="R21" i="5"/>
  <c r="Q21" i="5"/>
  <c r="P21" i="5"/>
  <c r="N21" i="5"/>
  <c r="L21" i="5"/>
  <c r="I21" i="5"/>
  <c r="G21" i="5"/>
  <c r="E21" i="5"/>
  <c r="V20" i="5"/>
  <c r="W20" i="5" s="1"/>
  <c r="T20" i="5"/>
  <c r="R20" i="5"/>
  <c r="Q20" i="5"/>
  <c r="P20" i="5"/>
  <c r="L20" i="5"/>
  <c r="I20" i="5"/>
  <c r="E20" i="5"/>
  <c r="V19" i="5"/>
  <c r="T19" i="5"/>
  <c r="R19" i="5"/>
  <c r="Q19" i="5"/>
  <c r="P19" i="5"/>
  <c r="N19" i="5"/>
  <c r="L19" i="5"/>
  <c r="I19" i="5"/>
  <c r="G19" i="5"/>
  <c r="E19" i="5"/>
  <c r="V18" i="5"/>
  <c r="T18" i="5"/>
  <c r="R18" i="5"/>
  <c r="Q18" i="5"/>
  <c r="U18" i="5" s="1"/>
  <c r="P18" i="5"/>
  <c r="N18" i="5"/>
  <c r="L18" i="5"/>
  <c r="I18" i="5"/>
  <c r="G18" i="5"/>
  <c r="E18" i="5"/>
  <c r="V17" i="5"/>
  <c r="T17" i="5"/>
  <c r="U17" i="5" s="1"/>
  <c r="R17" i="5"/>
  <c r="Q17" i="5"/>
  <c r="P17" i="5"/>
  <c r="N17" i="5"/>
  <c r="L17" i="5"/>
  <c r="I17" i="5"/>
  <c r="G17" i="5"/>
  <c r="E17" i="5"/>
  <c r="V16" i="5"/>
  <c r="T16" i="5"/>
  <c r="R16" i="5"/>
  <c r="Q16" i="5"/>
  <c r="P16" i="5"/>
  <c r="N16" i="5"/>
  <c r="L16" i="5"/>
  <c r="I16" i="5"/>
  <c r="G16" i="5"/>
  <c r="E16" i="5"/>
  <c r="V15" i="5"/>
  <c r="W15" i="5" s="1"/>
  <c r="T15" i="5"/>
  <c r="R15" i="5"/>
  <c r="Q15" i="5"/>
  <c r="S15" i="5" s="1"/>
  <c r="P15" i="5"/>
  <c r="N15" i="5"/>
  <c r="L15" i="5"/>
  <c r="I15" i="5"/>
  <c r="G15" i="5"/>
  <c r="E15" i="5"/>
  <c r="V14" i="5"/>
  <c r="T14" i="5"/>
  <c r="R14" i="5"/>
  <c r="S14" i="5" s="1"/>
  <c r="Q14" i="5"/>
  <c r="W14" i="5" s="1"/>
  <c r="P14" i="5"/>
  <c r="N14" i="5"/>
  <c r="L14" i="5"/>
  <c r="I14" i="5"/>
  <c r="G14" i="5"/>
  <c r="E14" i="5"/>
  <c r="V13" i="5"/>
  <c r="W13" i="5" s="1"/>
  <c r="T13" i="5"/>
  <c r="R13" i="5"/>
  <c r="Q13" i="5"/>
  <c r="U13" i="5"/>
  <c r="P13" i="5"/>
  <c r="N13" i="5"/>
  <c r="L13" i="5"/>
  <c r="I13" i="5"/>
  <c r="G13" i="5"/>
  <c r="E13" i="5"/>
  <c r="V12" i="5"/>
  <c r="T12" i="5"/>
  <c r="U12" i="5" s="1"/>
  <c r="R12" i="5"/>
  <c r="Q12" i="5"/>
  <c r="S12" i="5" s="1"/>
  <c r="P12" i="5"/>
  <c r="N12" i="5"/>
  <c r="L12" i="5"/>
  <c r="I12" i="5"/>
  <c r="G12" i="5"/>
  <c r="E12" i="5"/>
  <c r="V11" i="5"/>
  <c r="T11" i="5"/>
  <c r="R11" i="5"/>
  <c r="Q11" i="5"/>
  <c r="W11" i="5" s="1"/>
  <c r="P11" i="5"/>
  <c r="N11" i="5"/>
  <c r="L11" i="5"/>
  <c r="I11" i="5"/>
  <c r="G11" i="5"/>
  <c r="E11" i="5"/>
  <c r="V10" i="5"/>
  <c r="T10" i="5"/>
  <c r="U10" i="5" s="1"/>
  <c r="R10" i="5"/>
  <c r="Q10" i="5"/>
  <c r="P10" i="5"/>
  <c r="N10" i="5"/>
  <c r="L10" i="5"/>
  <c r="I10" i="5"/>
  <c r="G10" i="5"/>
  <c r="E10" i="5"/>
  <c r="V7" i="5"/>
  <c r="W7" i="5"/>
  <c r="T7" i="5"/>
  <c r="R7" i="5"/>
  <c r="Q7" i="5"/>
  <c r="P7" i="5"/>
  <c r="N7" i="5"/>
  <c r="L7" i="5"/>
  <c r="I7" i="5"/>
  <c r="G7" i="5"/>
  <c r="E7" i="5"/>
  <c r="V6" i="5"/>
  <c r="T6" i="5"/>
  <c r="R6" i="5"/>
  <c r="Q6" i="5"/>
  <c r="W6" i="5" s="1"/>
  <c r="P6" i="5"/>
  <c r="N6" i="5"/>
  <c r="L6" i="5"/>
  <c r="I6" i="5"/>
  <c r="G6" i="5"/>
  <c r="E6" i="5"/>
  <c r="V5" i="5"/>
  <c r="T5" i="5"/>
  <c r="U5" i="5" s="1"/>
  <c r="R5" i="5"/>
  <c r="S5" i="5" s="1"/>
  <c r="Q5" i="5"/>
  <c r="P5" i="5"/>
  <c r="N5" i="5"/>
  <c r="L5" i="5"/>
  <c r="I5" i="5"/>
  <c r="G5" i="5"/>
  <c r="E5" i="5"/>
  <c r="V4" i="5"/>
  <c r="T4" i="5"/>
  <c r="R4" i="5"/>
  <c r="Q4" i="5"/>
  <c r="S4" i="5" s="1"/>
  <c r="P4" i="5"/>
  <c r="N4" i="5"/>
  <c r="L4" i="5"/>
  <c r="I4" i="5"/>
  <c r="G4" i="5"/>
  <c r="W62" i="5"/>
  <c r="U58" i="5"/>
  <c r="S58" i="5"/>
  <c r="W57" i="5"/>
  <c r="U55" i="5"/>
  <c r="S55" i="5"/>
  <c r="S53" i="5"/>
  <c r="U53" i="5"/>
  <c r="W53" i="5"/>
  <c r="W51" i="5"/>
  <c r="U50" i="5"/>
  <c r="S49" i="5"/>
  <c r="U49" i="5"/>
  <c r="U48" i="5"/>
  <c r="U47" i="5"/>
  <c r="S47" i="5"/>
  <c r="S45" i="5"/>
  <c r="W45" i="5"/>
  <c r="W44" i="5"/>
  <c r="S44" i="5"/>
  <c r="S42" i="5"/>
  <c r="W41" i="5"/>
  <c r="U41" i="5"/>
  <c r="W38" i="5"/>
  <c r="S37" i="5"/>
  <c r="W37" i="5"/>
  <c r="S26" i="5"/>
  <c r="S25" i="5"/>
  <c r="U24" i="5"/>
  <c r="S17" i="5"/>
  <c r="W16" i="5"/>
  <c r="S13" i="5"/>
  <c r="U11" i="5"/>
  <c r="U15" i="5"/>
  <c r="S46" i="5"/>
  <c r="S57" i="5"/>
  <c r="S30" i="5"/>
  <c r="W5" i="5"/>
  <c r="W23" i="5"/>
  <c r="W39" i="5"/>
  <c r="W47" i="5"/>
  <c r="S51" i="5"/>
  <c r="W58" i="5"/>
  <c r="U4" i="5"/>
  <c r="U22" i="5"/>
  <c r="S34" i="5"/>
  <c r="U38" i="5"/>
  <c r="S40" i="5"/>
  <c r="U46" i="5"/>
  <c r="S48" i="5"/>
  <c r="U57" i="5"/>
  <c r="S62" i="5"/>
  <c r="U51" i="5"/>
  <c r="G29" i="2"/>
  <c r="R35" i="2"/>
  <c r="Q35" i="2"/>
  <c r="P35" i="2"/>
  <c r="N35" i="2"/>
  <c r="L35" i="2"/>
  <c r="R35" i="3"/>
  <c r="Q35" i="3"/>
  <c r="P35" i="3"/>
  <c r="N35" i="3"/>
  <c r="L35" i="3"/>
  <c r="E35" i="3"/>
  <c r="P5" i="4"/>
  <c r="Q5" i="4"/>
  <c r="R5" i="4"/>
  <c r="T5" i="4"/>
  <c r="V5" i="4"/>
  <c r="P6" i="4"/>
  <c r="Q6" i="4"/>
  <c r="R6" i="4"/>
  <c r="T6" i="4"/>
  <c r="V6" i="4"/>
  <c r="P7" i="4"/>
  <c r="Q7" i="4"/>
  <c r="R7" i="4"/>
  <c r="T7" i="4"/>
  <c r="V7" i="4"/>
  <c r="P10" i="4"/>
  <c r="Q10" i="4"/>
  <c r="R10" i="4"/>
  <c r="T10" i="4"/>
  <c r="V10" i="4"/>
  <c r="P11" i="4"/>
  <c r="Q11" i="4"/>
  <c r="R11" i="4"/>
  <c r="T11" i="4"/>
  <c r="V11" i="4"/>
  <c r="P12" i="4"/>
  <c r="Q12" i="4"/>
  <c r="R12" i="4"/>
  <c r="T12" i="4"/>
  <c r="V12" i="4"/>
  <c r="P13" i="4"/>
  <c r="Q13" i="4"/>
  <c r="R13" i="4"/>
  <c r="T13" i="4"/>
  <c r="V13" i="4"/>
  <c r="P14" i="4"/>
  <c r="Q14" i="4"/>
  <c r="R14" i="4"/>
  <c r="T14" i="4"/>
  <c r="V14" i="4"/>
  <c r="P15" i="4"/>
  <c r="Q15" i="4"/>
  <c r="R15" i="4"/>
  <c r="T15" i="4"/>
  <c r="V15" i="4"/>
  <c r="P16" i="4"/>
  <c r="Q16" i="4"/>
  <c r="R16" i="4"/>
  <c r="T16" i="4"/>
  <c r="V16" i="4"/>
  <c r="P17" i="4"/>
  <c r="Q17" i="4"/>
  <c r="R17" i="4"/>
  <c r="T17" i="4"/>
  <c r="V17" i="4"/>
  <c r="P18" i="4"/>
  <c r="Q18" i="4"/>
  <c r="R18" i="4"/>
  <c r="T18" i="4"/>
  <c r="V18" i="4"/>
  <c r="P19" i="4"/>
  <c r="Q19" i="4"/>
  <c r="R19" i="4"/>
  <c r="T19" i="4"/>
  <c r="V19" i="4"/>
  <c r="P20" i="4"/>
  <c r="Q20" i="4"/>
  <c r="R20" i="4"/>
  <c r="T20" i="4"/>
  <c r="V20" i="4"/>
  <c r="P21" i="4"/>
  <c r="Q21" i="4"/>
  <c r="R21" i="4"/>
  <c r="T21" i="4"/>
  <c r="V21" i="4"/>
  <c r="P22" i="4"/>
  <c r="Q22" i="4"/>
  <c r="R22" i="4"/>
  <c r="T22" i="4"/>
  <c r="V22" i="4"/>
  <c r="P23" i="4"/>
  <c r="Q23" i="4"/>
  <c r="R23" i="4"/>
  <c r="T23" i="4"/>
  <c r="V23" i="4"/>
  <c r="P24" i="4"/>
  <c r="Q24" i="4"/>
  <c r="R24" i="4"/>
  <c r="T24" i="4"/>
  <c r="V24" i="4"/>
  <c r="P25" i="4"/>
  <c r="Q25" i="4"/>
  <c r="R25" i="4"/>
  <c r="T25" i="4"/>
  <c r="V25" i="4"/>
  <c r="P26" i="4"/>
  <c r="Q26" i="4"/>
  <c r="R26" i="4"/>
  <c r="T26" i="4"/>
  <c r="V26" i="4"/>
  <c r="P27" i="4"/>
  <c r="Q27" i="4"/>
  <c r="R27" i="4"/>
  <c r="T27" i="4"/>
  <c r="V27" i="4"/>
  <c r="P29" i="4"/>
  <c r="Q29" i="4"/>
  <c r="R29" i="4"/>
  <c r="T29" i="4"/>
  <c r="P30" i="4"/>
  <c r="Q30" i="4"/>
  <c r="R30" i="4"/>
  <c r="T30" i="4"/>
  <c r="V30" i="4"/>
  <c r="P32" i="4"/>
  <c r="Q32" i="4"/>
  <c r="R32" i="4"/>
  <c r="S32" i="4"/>
  <c r="T32" i="4"/>
  <c r="V32" i="4"/>
  <c r="P34" i="4"/>
  <c r="Q34" i="4"/>
  <c r="S34" i="4" s="1"/>
  <c r="R34" i="4"/>
  <c r="T34" i="4"/>
  <c r="V34" i="4"/>
  <c r="P35" i="4"/>
  <c r="Q35" i="4"/>
  <c r="R35" i="4"/>
  <c r="S35" i="4"/>
  <c r="P36" i="4"/>
  <c r="Q36" i="4"/>
  <c r="R36" i="4"/>
  <c r="S36" i="4" s="1"/>
  <c r="T36" i="4"/>
  <c r="U36" i="4" s="1"/>
  <c r="V36" i="4"/>
  <c r="W36" i="4"/>
  <c r="P37" i="4"/>
  <c r="Q37" i="4"/>
  <c r="R37" i="4"/>
  <c r="T37" i="4"/>
  <c r="V37" i="4"/>
  <c r="W37" i="4" s="1"/>
  <c r="P38" i="4"/>
  <c r="Q38" i="4"/>
  <c r="R38" i="4"/>
  <c r="S38" i="4" s="1"/>
  <c r="T38" i="4"/>
  <c r="U38" i="4" s="1"/>
  <c r="V38" i="4"/>
  <c r="W38" i="4"/>
  <c r="P39" i="4"/>
  <c r="Q39" i="4"/>
  <c r="R39" i="4"/>
  <c r="T39" i="4"/>
  <c r="V39" i="4"/>
  <c r="W39" i="4" s="1"/>
  <c r="P40" i="4"/>
  <c r="Q40" i="4"/>
  <c r="R40" i="4"/>
  <c r="S40" i="4" s="1"/>
  <c r="T40" i="4"/>
  <c r="U40" i="4" s="1"/>
  <c r="V40" i="4"/>
  <c r="W40" i="4"/>
  <c r="P41" i="4"/>
  <c r="Q41" i="4"/>
  <c r="R41" i="4"/>
  <c r="T41" i="4"/>
  <c r="V41" i="4"/>
  <c r="W41" i="4" s="1"/>
  <c r="P42" i="4"/>
  <c r="Q42" i="4"/>
  <c r="R42" i="4"/>
  <c r="S42" i="4" s="1"/>
  <c r="T42" i="4"/>
  <c r="U42" i="4" s="1"/>
  <c r="V42" i="4"/>
  <c r="W42" i="4"/>
  <c r="P43" i="4"/>
  <c r="Q43" i="4"/>
  <c r="R43" i="4"/>
  <c r="T43" i="4"/>
  <c r="V43" i="4"/>
  <c r="W43" i="4" s="1"/>
  <c r="P44" i="4"/>
  <c r="Q44" i="4"/>
  <c r="R44" i="4"/>
  <c r="S44" i="4" s="1"/>
  <c r="T44" i="4"/>
  <c r="U44" i="4" s="1"/>
  <c r="V44" i="4"/>
  <c r="W44" i="4"/>
  <c r="P45" i="4"/>
  <c r="Q45" i="4"/>
  <c r="R45" i="4"/>
  <c r="T45" i="4"/>
  <c r="V45" i="4"/>
  <c r="W45" i="4" s="1"/>
  <c r="P46" i="4"/>
  <c r="Q46" i="4"/>
  <c r="R46" i="4"/>
  <c r="S46" i="4" s="1"/>
  <c r="T46" i="4"/>
  <c r="U46" i="4" s="1"/>
  <c r="V46" i="4"/>
  <c r="W46" i="4"/>
  <c r="P47" i="4"/>
  <c r="Q47" i="4"/>
  <c r="R47" i="4"/>
  <c r="T47" i="4"/>
  <c r="V47" i="4"/>
  <c r="W47" i="4" s="1"/>
  <c r="P48" i="4"/>
  <c r="Q48" i="4"/>
  <c r="R48" i="4"/>
  <c r="S48" i="4" s="1"/>
  <c r="T48" i="4"/>
  <c r="U48" i="4" s="1"/>
  <c r="V48" i="4"/>
  <c r="W48" i="4"/>
  <c r="P49" i="4"/>
  <c r="Q49" i="4"/>
  <c r="R49" i="4"/>
  <c r="T49" i="4"/>
  <c r="V49" i="4"/>
  <c r="W49" i="4" s="1"/>
  <c r="P50" i="4"/>
  <c r="Q50" i="4"/>
  <c r="R50" i="4"/>
  <c r="S50" i="4" s="1"/>
  <c r="T50" i="4"/>
  <c r="U50" i="4" s="1"/>
  <c r="V50" i="4"/>
  <c r="W50" i="4"/>
  <c r="P51" i="4"/>
  <c r="Q51" i="4"/>
  <c r="R51" i="4"/>
  <c r="T51" i="4"/>
  <c r="V51" i="4"/>
  <c r="W51" i="4" s="1"/>
  <c r="P53" i="4"/>
  <c r="Q53" i="4"/>
  <c r="R53" i="4"/>
  <c r="S53" i="4" s="1"/>
  <c r="T53" i="4"/>
  <c r="U53" i="4" s="1"/>
  <c r="V53" i="4"/>
  <c r="W53" i="4"/>
  <c r="P55" i="4"/>
  <c r="Q55" i="4"/>
  <c r="R55" i="4"/>
  <c r="T55" i="4"/>
  <c r="V55" i="4"/>
  <c r="W55" i="4" s="1"/>
  <c r="P57" i="4"/>
  <c r="Q57" i="4"/>
  <c r="R57" i="4"/>
  <c r="S57" i="4" s="1"/>
  <c r="T57" i="4"/>
  <c r="U57" i="4" s="1"/>
  <c r="V57" i="4"/>
  <c r="W57" i="4"/>
  <c r="P58" i="4"/>
  <c r="Q58" i="4"/>
  <c r="R58" i="4"/>
  <c r="T58" i="4"/>
  <c r="V58" i="4"/>
  <c r="W58" i="4" s="1"/>
  <c r="P62" i="4"/>
  <c r="Q62" i="4"/>
  <c r="R62" i="4"/>
  <c r="S62" i="4" s="1"/>
  <c r="T62" i="4"/>
  <c r="U62" i="4" s="1"/>
  <c r="V62" i="4"/>
  <c r="W62" i="4"/>
  <c r="N5" i="4"/>
  <c r="N6" i="4"/>
  <c r="N7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9" i="4"/>
  <c r="N30" i="4"/>
  <c r="N32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3" i="4"/>
  <c r="N55" i="4"/>
  <c r="N57" i="4"/>
  <c r="N58" i="4"/>
  <c r="N62" i="4"/>
  <c r="L5" i="4"/>
  <c r="L6" i="4"/>
  <c r="L7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9" i="4"/>
  <c r="L30" i="4"/>
  <c r="L32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3" i="4"/>
  <c r="L55" i="4"/>
  <c r="L57" i="4"/>
  <c r="L58" i="4"/>
  <c r="L62" i="4"/>
  <c r="I5" i="4"/>
  <c r="I6" i="4"/>
  <c r="I7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30" i="4"/>
  <c r="I32" i="4"/>
  <c r="I34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3" i="4"/>
  <c r="I55" i="4"/>
  <c r="I57" i="4"/>
  <c r="I58" i="4"/>
  <c r="I62" i="4"/>
  <c r="G5" i="4"/>
  <c r="G6" i="4"/>
  <c r="G7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9" i="4"/>
  <c r="G30" i="4"/>
  <c r="G32" i="4"/>
  <c r="G34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3" i="4"/>
  <c r="G55" i="4"/>
  <c r="G57" i="4"/>
  <c r="G58" i="4"/>
  <c r="G62" i="4"/>
  <c r="E5" i="4"/>
  <c r="E6" i="4"/>
  <c r="E7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9" i="4"/>
  <c r="E30" i="4"/>
  <c r="E32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3" i="4"/>
  <c r="E55" i="4"/>
  <c r="E57" i="4"/>
  <c r="E58" i="4"/>
  <c r="E62" i="4"/>
  <c r="Q4" i="4"/>
  <c r="V4" i="4"/>
  <c r="T4" i="4"/>
  <c r="R4" i="4"/>
  <c r="P4" i="4"/>
  <c r="N4" i="4"/>
  <c r="L4" i="4"/>
  <c r="I4" i="4"/>
  <c r="G4" i="4"/>
  <c r="E4" i="4"/>
  <c r="P25" i="3"/>
  <c r="Q25" i="3"/>
  <c r="R25" i="3"/>
  <c r="T25" i="3"/>
  <c r="V25" i="3"/>
  <c r="P26" i="3"/>
  <c r="Q26" i="3"/>
  <c r="S26" i="3" s="1"/>
  <c r="R26" i="3"/>
  <c r="T26" i="3"/>
  <c r="V26" i="3"/>
  <c r="P27" i="3"/>
  <c r="Q27" i="3"/>
  <c r="R27" i="3"/>
  <c r="S27" i="3" s="1"/>
  <c r="T27" i="3"/>
  <c r="U27" i="3" s="1"/>
  <c r="V27" i="3"/>
  <c r="P29" i="3"/>
  <c r="Q29" i="3"/>
  <c r="R29" i="3"/>
  <c r="T29" i="3"/>
  <c r="V29" i="3"/>
  <c r="P30" i="3"/>
  <c r="Q30" i="3"/>
  <c r="R30" i="3"/>
  <c r="T30" i="3"/>
  <c r="V30" i="3"/>
  <c r="P32" i="3"/>
  <c r="Q32" i="3"/>
  <c r="U32" i="3"/>
  <c r="R32" i="3"/>
  <c r="T32" i="3"/>
  <c r="V32" i="3"/>
  <c r="P34" i="3"/>
  <c r="Q34" i="3"/>
  <c r="U34" i="3" s="1"/>
  <c r="R34" i="3"/>
  <c r="T34" i="3"/>
  <c r="V34" i="3"/>
  <c r="P36" i="3"/>
  <c r="Q36" i="3"/>
  <c r="U36" i="3" s="1"/>
  <c r="R36" i="3"/>
  <c r="T36" i="3"/>
  <c r="V36" i="3"/>
  <c r="P37" i="3"/>
  <c r="Q37" i="3"/>
  <c r="R37" i="3"/>
  <c r="T37" i="3"/>
  <c r="V37" i="3"/>
  <c r="P38" i="3"/>
  <c r="Q38" i="3"/>
  <c r="U38" i="3"/>
  <c r="R38" i="3"/>
  <c r="T38" i="3"/>
  <c r="V38" i="3"/>
  <c r="W38" i="3" s="1"/>
  <c r="P39" i="3"/>
  <c r="Q39" i="3"/>
  <c r="R39" i="3"/>
  <c r="T39" i="3"/>
  <c r="U39" i="3" s="1"/>
  <c r="V39" i="3"/>
  <c r="P40" i="3"/>
  <c r="Q40" i="3"/>
  <c r="R40" i="3"/>
  <c r="S40" i="3" s="1"/>
  <c r="T40" i="3"/>
  <c r="P41" i="3"/>
  <c r="Q41" i="3"/>
  <c r="S41" i="3" s="1"/>
  <c r="R41" i="3"/>
  <c r="T41" i="3"/>
  <c r="U41" i="3"/>
  <c r="V41" i="3"/>
  <c r="P42" i="3"/>
  <c r="Q42" i="3"/>
  <c r="R42" i="3"/>
  <c r="T42" i="3"/>
  <c r="U42" i="3" s="1"/>
  <c r="V42" i="3"/>
  <c r="W42" i="3" s="1"/>
  <c r="P43" i="3"/>
  <c r="Q43" i="3"/>
  <c r="R43" i="3"/>
  <c r="T43" i="3"/>
  <c r="U43" i="3" s="1"/>
  <c r="V43" i="3"/>
  <c r="P44" i="3"/>
  <c r="Q44" i="3"/>
  <c r="W44" i="3" s="1"/>
  <c r="R44" i="3"/>
  <c r="V44" i="3"/>
  <c r="P45" i="3"/>
  <c r="Q45" i="3"/>
  <c r="S45" i="3" s="1"/>
  <c r="R45" i="3"/>
  <c r="T45" i="3"/>
  <c r="V45" i="3"/>
  <c r="P46" i="3"/>
  <c r="Q46" i="3"/>
  <c r="R46" i="3"/>
  <c r="T46" i="3"/>
  <c r="U46" i="3" s="1"/>
  <c r="V46" i="3"/>
  <c r="P47" i="3"/>
  <c r="Q47" i="3"/>
  <c r="R47" i="3"/>
  <c r="T47" i="3"/>
  <c r="U47" i="3" s="1"/>
  <c r="V47" i="3"/>
  <c r="P48" i="3"/>
  <c r="Q48" i="3"/>
  <c r="S48" i="3" s="1"/>
  <c r="R48" i="3"/>
  <c r="T48" i="3"/>
  <c r="V48" i="3"/>
  <c r="P49" i="3"/>
  <c r="Q49" i="3"/>
  <c r="S49" i="3" s="1"/>
  <c r="R49" i="3"/>
  <c r="T49" i="3"/>
  <c r="V49" i="3"/>
  <c r="P50" i="3"/>
  <c r="Q50" i="3"/>
  <c r="R50" i="3"/>
  <c r="T50" i="3"/>
  <c r="U50" i="3" s="1"/>
  <c r="V50" i="3"/>
  <c r="P51" i="3"/>
  <c r="Q51" i="3"/>
  <c r="R51" i="3"/>
  <c r="T51" i="3"/>
  <c r="U51" i="3" s="1"/>
  <c r="V51" i="3"/>
  <c r="P53" i="3"/>
  <c r="Q53" i="3"/>
  <c r="S53" i="3" s="1"/>
  <c r="R53" i="3"/>
  <c r="T53" i="3"/>
  <c r="V53" i="3"/>
  <c r="P55" i="3"/>
  <c r="Q55" i="3"/>
  <c r="S55" i="3" s="1"/>
  <c r="R55" i="3"/>
  <c r="T55" i="3"/>
  <c r="V55" i="3"/>
  <c r="P57" i="3"/>
  <c r="Q57" i="3"/>
  <c r="R57" i="3"/>
  <c r="P58" i="3"/>
  <c r="Q58" i="3"/>
  <c r="S58" i="3" s="1"/>
  <c r="R58" i="3"/>
  <c r="T58" i="3"/>
  <c r="V58" i="3"/>
  <c r="P62" i="3"/>
  <c r="Q62" i="3"/>
  <c r="R62" i="3"/>
  <c r="T62" i="3"/>
  <c r="V62" i="3"/>
  <c r="N25" i="3"/>
  <c r="N26" i="3"/>
  <c r="N27" i="3"/>
  <c r="N29" i="3"/>
  <c r="N30" i="3"/>
  <c r="N32" i="3"/>
  <c r="N34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3" i="3"/>
  <c r="N55" i="3"/>
  <c r="N57" i="3"/>
  <c r="N58" i="3"/>
  <c r="N62" i="3"/>
  <c r="L29" i="3"/>
  <c r="L25" i="3"/>
  <c r="L26" i="3"/>
  <c r="L27" i="3"/>
  <c r="L30" i="3"/>
  <c r="L32" i="3"/>
  <c r="L34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3" i="3"/>
  <c r="L55" i="3"/>
  <c r="L57" i="3"/>
  <c r="L58" i="3"/>
  <c r="L62" i="3"/>
  <c r="I25" i="3"/>
  <c r="I26" i="3"/>
  <c r="I27" i="3"/>
  <c r="I30" i="3"/>
  <c r="I34" i="3"/>
  <c r="I36" i="3"/>
  <c r="I37" i="3"/>
  <c r="I38" i="3"/>
  <c r="I39" i="3"/>
  <c r="I41" i="3"/>
  <c r="I42" i="3"/>
  <c r="I43" i="3"/>
  <c r="I44" i="3"/>
  <c r="I45" i="3"/>
  <c r="I46" i="3"/>
  <c r="I47" i="3"/>
  <c r="I48" i="3"/>
  <c r="I49" i="3"/>
  <c r="I50" i="3"/>
  <c r="I51" i="3"/>
  <c r="I53" i="3"/>
  <c r="I55" i="3"/>
  <c r="I58" i="3"/>
  <c r="I62" i="3"/>
  <c r="G25" i="3"/>
  <c r="G26" i="3"/>
  <c r="G27" i="3"/>
  <c r="G29" i="3"/>
  <c r="G30" i="3"/>
  <c r="G32" i="3"/>
  <c r="G34" i="3"/>
  <c r="G36" i="3"/>
  <c r="G37" i="3"/>
  <c r="G38" i="3"/>
  <c r="G39" i="3"/>
  <c r="G40" i="3"/>
  <c r="G41" i="3"/>
  <c r="G42" i="3"/>
  <c r="G43" i="3"/>
  <c r="G45" i="3"/>
  <c r="G46" i="3"/>
  <c r="G47" i="3"/>
  <c r="G48" i="3"/>
  <c r="G49" i="3"/>
  <c r="G50" i="3"/>
  <c r="G51" i="3"/>
  <c r="G53" i="3"/>
  <c r="G55" i="3"/>
  <c r="G58" i="3"/>
  <c r="G62" i="3"/>
  <c r="E25" i="3"/>
  <c r="E26" i="3"/>
  <c r="E27" i="3"/>
  <c r="E29" i="3"/>
  <c r="E30" i="3"/>
  <c r="E32" i="3"/>
  <c r="E34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3" i="3"/>
  <c r="E55" i="3"/>
  <c r="E57" i="3"/>
  <c r="E58" i="3"/>
  <c r="E62" i="3"/>
  <c r="P25" i="2"/>
  <c r="Q25" i="2"/>
  <c r="R25" i="2"/>
  <c r="T25" i="2"/>
  <c r="U25" i="2" s="1"/>
  <c r="V25" i="2"/>
  <c r="P26" i="2"/>
  <c r="Q26" i="2"/>
  <c r="R26" i="2"/>
  <c r="T26" i="2"/>
  <c r="V26" i="2"/>
  <c r="P27" i="2"/>
  <c r="Q27" i="2"/>
  <c r="U27" i="2" s="1"/>
  <c r="R27" i="2"/>
  <c r="T27" i="2"/>
  <c r="V27" i="2"/>
  <c r="W27" i="2" s="1"/>
  <c r="P29" i="2"/>
  <c r="Q29" i="2"/>
  <c r="R29" i="2"/>
  <c r="T29" i="2"/>
  <c r="U29" i="2" s="1"/>
  <c r="V29" i="2"/>
  <c r="P30" i="2"/>
  <c r="Q30" i="2"/>
  <c r="R30" i="2"/>
  <c r="V30" i="2"/>
  <c r="P32" i="2"/>
  <c r="Q32" i="2"/>
  <c r="U32" i="2" s="1"/>
  <c r="R32" i="2"/>
  <c r="S32" i="2" s="1"/>
  <c r="T32" i="2"/>
  <c r="V32" i="2"/>
  <c r="W32" i="2" s="1"/>
  <c r="P34" i="2"/>
  <c r="Q34" i="2"/>
  <c r="R34" i="2"/>
  <c r="S34" i="2" s="1"/>
  <c r="T34" i="2"/>
  <c r="U34" i="2"/>
  <c r="V34" i="2"/>
  <c r="W34" i="2" s="1"/>
  <c r="P36" i="2"/>
  <c r="Q36" i="2"/>
  <c r="U36" i="2" s="1"/>
  <c r="R36" i="2"/>
  <c r="S36" i="2" s="1"/>
  <c r="T36" i="2"/>
  <c r="V36" i="2"/>
  <c r="W36" i="2" s="1"/>
  <c r="P37" i="2"/>
  <c r="Q37" i="2"/>
  <c r="R37" i="2"/>
  <c r="S37" i="2" s="1"/>
  <c r="T37" i="2"/>
  <c r="U37" i="2"/>
  <c r="V37" i="2"/>
  <c r="W37" i="2" s="1"/>
  <c r="P38" i="2"/>
  <c r="Q38" i="2"/>
  <c r="U38" i="2" s="1"/>
  <c r="R38" i="2"/>
  <c r="S38" i="2" s="1"/>
  <c r="T38" i="2"/>
  <c r="V38" i="2"/>
  <c r="W38" i="2" s="1"/>
  <c r="P39" i="2"/>
  <c r="Q39" i="2"/>
  <c r="R39" i="2"/>
  <c r="S39" i="2" s="1"/>
  <c r="T39" i="2"/>
  <c r="U39" i="2"/>
  <c r="V39" i="2"/>
  <c r="W39" i="2" s="1"/>
  <c r="P40" i="2"/>
  <c r="Q40" i="2"/>
  <c r="U40" i="2" s="1"/>
  <c r="R40" i="2"/>
  <c r="S40" i="2" s="1"/>
  <c r="T40" i="2"/>
  <c r="V40" i="2"/>
  <c r="W40" i="2" s="1"/>
  <c r="P41" i="2"/>
  <c r="Q41" i="2"/>
  <c r="R41" i="2"/>
  <c r="S41" i="2" s="1"/>
  <c r="T41" i="2"/>
  <c r="U41" i="2"/>
  <c r="V41" i="2"/>
  <c r="W41" i="2" s="1"/>
  <c r="P42" i="2"/>
  <c r="Q42" i="2"/>
  <c r="U42" i="2" s="1"/>
  <c r="R42" i="2"/>
  <c r="S42" i="2" s="1"/>
  <c r="T42" i="2"/>
  <c r="V42" i="2"/>
  <c r="W42" i="2" s="1"/>
  <c r="P43" i="2"/>
  <c r="Q43" i="2"/>
  <c r="R43" i="2"/>
  <c r="S43" i="2" s="1"/>
  <c r="T43" i="2"/>
  <c r="U43" i="2"/>
  <c r="V43" i="2"/>
  <c r="W43" i="2" s="1"/>
  <c r="P44" i="2"/>
  <c r="Q44" i="2"/>
  <c r="U44" i="2" s="1"/>
  <c r="R44" i="2"/>
  <c r="S44" i="2" s="1"/>
  <c r="T44" i="2"/>
  <c r="V44" i="2"/>
  <c r="W44" i="2" s="1"/>
  <c r="P45" i="2"/>
  <c r="Q45" i="2"/>
  <c r="R45" i="2"/>
  <c r="S45" i="2" s="1"/>
  <c r="T45" i="2"/>
  <c r="U45" i="2"/>
  <c r="V45" i="2"/>
  <c r="W45" i="2" s="1"/>
  <c r="P46" i="2"/>
  <c r="Q46" i="2"/>
  <c r="U46" i="2" s="1"/>
  <c r="R46" i="2"/>
  <c r="S46" i="2" s="1"/>
  <c r="T46" i="2"/>
  <c r="V46" i="2"/>
  <c r="W46" i="2" s="1"/>
  <c r="P47" i="2"/>
  <c r="Q47" i="2"/>
  <c r="R47" i="2"/>
  <c r="S47" i="2" s="1"/>
  <c r="T47" i="2"/>
  <c r="U47" i="2"/>
  <c r="V47" i="2"/>
  <c r="W47" i="2" s="1"/>
  <c r="P48" i="2"/>
  <c r="Q48" i="2"/>
  <c r="U48" i="2" s="1"/>
  <c r="R48" i="2"/>
  <c r="S48" i="2" s="1"/>
  <c r="T48" i="2"/>
  <c r="V48" i="2"/>
  <c r="W48" i="2" s="1"/>
  <c r="P49" i="2"/>
  <c r="Q49" i="2"/>
  <c r="R49" i="2"/>
  <c r="S49" i="2" s="1"/>
  <c r="T49" i="2"/>
  <c r="U49" i="2"/>
  <c r="V49" i="2"/>
  <c r="W49" i="2" s="1"/>
  <c r="P50" i="2"/>
  <c r="Q50" i="2"/>
  <c r="U50" i="2" s="1"/>
  <c r="R50" i="2"/>
  <c r="S50" i="2" s="1"/>
  <c r="T50" i="2"/>
  <c r="V50" i="2"/>
  <c r="W50" i="2" s="1"/>
  <c r="P51" i="2"/>
  <c r="Q51" i="2"/>
  <c r="R51" i="2"/>
  <c r="S51" i="2" s="1"/>
  <c r="T51" i="2"/>
  <c r="U51" i="2"/>
  <c r="V51" i="2"/>
  <c r="W51" i="2" s="1"/>
  <c r="P53" i="2"/>
  <c r="Q53" i="2"/>
  <c r="U53" i="2" s="1"/>
  <c r="R53" i="2"/>
  <c r="S53" i="2" s="1"/>
  <c r="T53" i="2"/>
  <c r="V53" i="2"/>
  <c r="W53" i="2"/>
  <c r="P55" i="2"/>
  <c r="Q55" i="2"/>
  <c r="R55" i="2"/>
  <c r="S55" i="2"/>
  <c r="T55" i="2"/>
  <c r="U55" i="2"/>
  <c r="V55" i="2"/>
  <c r="W55" i="2"/>
  <c r="P57" i="2"/>
  <c r="Q57" i="2"/>
  <c r="R57" i="2"/>
  <c r="S57" i="2"/>
  <c r="T57" i="2"/>
  <c r="U57" i="2"/>
  <c r="P58" i="2"/>
  <c r="Q58" i="2"/>
  <c r="U58" i="2" s="1"/>
  <c r="R58" i="2"/>
  <c r="T58" i="2"/>
  <c r="V58" i="2"/>
  <c r="P62" i="2"/>
  <c r="Q62" i="2"/>
  <c r="R62" i="2"/>
  <c r="T62" i="2"/>
  <c r="V62" i="2"/>
  <c r="N25" i="2"/>
  <c r="N26" i="2"/>
  <c r="N27" i="2"/>
  <c r="N29" i="2"/>
  <c r="N30" i="2"/>
  <c r="N32" i="2"/>
  <c r="N34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3" i="2"/>
  <c r="N55" i="2"/>
  <c r="N57" i="2"/>
  <c r="N58" i="2"/>
  <c r="N62" i="2"/>
  <c r="L25" i="2"/>
  <c r="L26" i="2"/>
  <c r="L27" i="2"/>
  <c r="L29" i="2"/>
  <c r="L30" i="2"/>
  <c r="L32" i="2"/>
  <c r="L34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3" i="2"/>
  <c r="L55" i="2"/>
  <c r="L57" i="2"/>
  <c r="L58" i="2"/>
  <c r="L62" i="2"/>
  <c r="I25" i="2"/>
  <c r="I26" i="2"/>
  <c r="I27" i="2"/>
  <c r="I30" i="2"/>
  <c r="I34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3" i="2"/>
  <c r="I55" i="2"/>
  <c r="I58" i="2"/>
  <c r="I62" i="2"/>
  <c r="G25" i="2"/>
  <c r="G26" i="2"/>
  <c r="G27" i="2"/>
  <c r="G32" i="2"/>
  <c r="G34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3" i="2"/>
  <c r="G55" i="2"/>
  <c r="G57" i="2"/>
  <c r="G58" i="2"/>
  <c r="G62" i="2"/>
  <c r="E25" i="2"/>
  <c r="E26" i="2"/>
  <c r="E27" i="2"/>
  <c r="E29" i="2"/>
  <c r="E30" i="2"/>
  <c r="E32" i="2"/>
  <c r="E34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3" i="2"/>
  <c r="E55" i="2"/>
  <c r="E57" i="2"/>
  <c r="E58" i="2"/>
  <c r="E62" i="2"/>
  <c r="G24" i="2"/>
  <c r="E24" i="2"/>
  <c r="L24" i="2"/>
  <c r="N24" i="2"/>
  <c r="P24" i="2"/>
  <c r="Q24" i="2"/>
  <c r="R24" i="2"/>
  <c r="S24" i="2"/>
  <c r="T24" i="2"/>
  <c r="U24" i="2" s="1"/>
  <c r="Q24" i="3"/>
  <c r="R24" i="3"/>
  <c r="T24" i="3"/>
  <c r="V24" i="3"/>
  <c r="P24" i="3"/>
  <c r="N24" i="3"/>
  <c r="L24" i="3"/>
  <c r="I24" i="3"/>
  <c r="G24" i="3"/>
  <c r="E24" i="3"/>
  <c r="P22" i="2"/>
  <c r="Q22" i="2"/>
  <c r="U22" i="2" s="1"/>
  <c r="R22" i="2"/>
  <c r="T22" i="2"/>
  <c r="V22" i="2"/>
  <c r="P23" i="2"/>
  <c r="Q23" i="2"/>
  <c r="U23" i="2" s="1"/>
  <c r="R23" i="2"/>
  <c r="T23" i="2"/>
  <c r="V23" i="2"/>
  <c r="W23" i="2"/>
  <c r="N22" i="2"/>
  <c r="N23" i="2"/>
  <c r="L22" i="2"/>
  <c r="L23" i="2"/>
  <c r="I22" i="2"/>
  <c r="I23" i="2"/>
  <c r="G22" i="2"/>
  <c r="G23" i="2"/>
  <c r="E22" i="2"/>
  <c r="E23" i="2"/>
  <c r="N22" i="3"/>
  <c r="N23" i="3"/>
  <c r="L22" i="3"/>
  <c r="L23" i="3"/>
  <c r="I22" i="3"/>
  <c r="I23" i="3"/>
  <c r="G22" i="3"/>
  <c r="G23" i="3"/>
  <c r="E22" i="3"/>
  <c r="E23" i="3"/>
  <c r="P22" i="3"/>
  <c r="Q22" i="3"/>
  <c r="R22" i="3"/>
  <c r="S22" i="3"/>
  <c r="T22" i="3"/>
  <c r="U22" i="3" s="1"/>
  <c r="V22" i="3"/>
  <c r="P23" i="3"/>
  <c r="Q23" i="3"/>
  <c r="S23" i="3" s="1"/>
  <c r="R23" i="3"/>
  <c r="T23" i="3"/>
  <c r="V23" i="3"/>
  <c r="W23" i="3"/>
  <c r="G19" i="2"/>
  <c r="G20" i="2"/>
  <c r="G21" i="2"/>
  <c r="E19" i="2"/>
  <c r="E20" i="2"/>
  <c r="E21" i="2"/>
  <c r="I21" i="2"/>
  <c r="I19" i="2"/>
  <c r="I20" i="2"/>
  <c r="L19" i="2"/>
  <c r="L20" i="2"/>
  <c r="L21" i="2"/>
  <c r="N19" i="2"/>
  <c r="N20" i="2"/>
  <c r="N21" i="2"/>
  <c r="P19" i="2"/>
  <c r="Q19" i="2"/>
  <c r="R19" i="2"/>
  <c r="T19" i="2"/>
  <c r="U19" i="2"/>
  <c r="V19" i="2"/>
  <c r="P20" i="2"/>
  <c r="Q20" i="2"/>
  <c r="R20" i="2"/>
  <c r="T20" i="2"/>
  <c r="V20" i="2"/>
  <c r="P21" i="2"/>
  <c r="Q21" i="2"/>
  <c r="U21" i="2" s="1"/>
  <c r="R21" i="2"/>
  <c r="T21" i="2"/>
  <c r="V21" i="2"/>
  <c r="P19" i="3"/>
  <c r="Q19" i="3"/>
  <c r="R19" i="3"/>
  <c r="T19" i="3"/>
  <c r="V19" i="3"/>
  <c r="P20" i="3"/>
  <c r="Q20" i="3"/>
  <c r="U20" i="3" s="1"/>
  <c r="R20" i="3"/>
  <c r="T20" i="3"/>
  <c r="V20" i="3"/>
  <c r="P21" i="3"/>
  <c r="Q21" i="3"/>
  <c r="R21" i="3"/>
  <c r="T21" i="3"/>
  <c r="V21" i="3"/>
  <c r="N19" i="3"/>
  <c r="N20" i="3"/>
  <c r="N21" i="3"/>
  <c r="L19" i="3"/>
  <c r="L20" i="3"/>
  <c r="L21" i="3"/>
  <c r="I19" i="3"/>
  <c r="I20" i="3"/>
  <c r="I21" i="3"/>
  <c r="G19" i="3"/>
  <c r="G20" i="3"/>
  <c r="G21" i="3"/>
  <c r="E19" i="3"/>
  <c r="E20" i="3"/>
  <c r="E21" i="3"/>
  <c r="P18" i="3"/>
  <c r="Q18" i="3"/>
  <c r="R18" i="3"/>
  <c r="T18" i="3"/>
  <c r="V18" i="3"/>
  <c r="N18" i="3"/>
  <c r="L18" i="3"/>
  <c r="I18" i="3"/>
  <c r="G18" i="3"/>
  <c r="E18" i="3"/>
  <c r="P18" i="2"/>
  <c r="Q18" i="2"/>
  <c r="U18" i="2"/>
  <c r="R18" i="2"/>
  <c r="T18" i="2"/>
  <c r="V18" i="2"/>
  <c r="N18" i="2"/>
  <c r="L18" i="2"/>
  <c r="I18" i="2"/>
  <c r="G18" i="2"/>
  <c r="E18" i="2"/>
  <c r="E17" i="2"/>
  <c r="G17" i="2"/>
  <c r="P17" i="3"/>
  <c r="Q17" i="3"/>
  <c r="S17" i="3" s="1"/>
  <c r="R17" i="3"/>
  <c r="T17" i="3"/>
  <c r="V17" i="3"/>
  <c r="N17" i="3"/>
  <c r="L17" i="3"/>
  <c r="I17" i="3"/>
  <c r="G17" i="3"/>
  <c r="E17" i="3"/>
  <c r="P17" i="2"/>
  <c r="Q17" i="2"/>
  <c r="R17" i="2"/>
  <c r="S17" i="2" s="1"/>
  <c r="T17" i="2"/>
  <c r="U17" i="2" s="1"/>
  <c r="V17" i="2"/>
  <c r="W17" i="2"/>
  <c r="N17" i="2"/>
  <c r="L17" i="2"/>
  <c r="I17" i="2"/>
  <c r="P16" i="3"/>
  <c r="Q16" i="3"/>
  <c r="U16" i="3" s="1"/>
  <c r="R16" i="3"/>
  <c r="T16" i="3"/>
  <c r="V16" i="3"/>
  <c r="N16" i="3"/>
  <c r="L16" i="3"/>
  <c r="I16" i="3"/>
  <c r="G16" i="3"/>
  <c r="E16" i="3"/>
  <c r="P16" i="2"/>
  <c r="Q16" i="2"/>
  <c r="R16" i="2"/>
  <c r="S16" i="2" s="1"/>
  <c r="T16" i="2"/>
  <c r="U16" i="2" s="1"/>
  <c r="V16" i="2"/>
  <c r="Q15" i="2"/>
  <c r="R15" i="2"/>
  <c r="T15" i="2"/>
  <c r="V15" i="2"/>
  <c r="N16" i="2"/>
  <c r="L16" i="2"/>
  <c r="I16" i="2"/>
  <c r="G16" i="2"/>
  <c r="E16" i="2"/>
  <c r="Q15" i="3"/>
  <c r="V15" i="3"/>
  <c r="P15" i="3"/>
  <c r="R15" i="3"/>
  <c r="T15" i="3"/>
  <c r="N15" i="3"/>
  <c r="L15" i="3"/>
  <c r="I15" i="3"/>
  <c r="G15" i="3"/>
  <c r="E15" i="3"/>
  <c r="P15" i="2"/>
  <c r="N15" i="2"/>
  <c r="L15" i="2"/>
  <c r="I15" i="2"/>
  <c r="G15" i="2"/>
  <c r="E15" i="2"/>
  <c r="Q14" i="2"/>
  <c r="V14" i="2"/>
  <c r="Q13" i="3"/>
  <c r="V14" i="3"/>
  <c r="Q14" i="3"/>
  <c r="S14" i="3" s="1"/>
  <c r="P14" i="3"/>
  <c r="R14" i="3"/>
  <c r="T14" i="3"/>
  <c r="N14" i="3"/>
  <c r="L14" i="3"/>
  <c r="I14" i="3"/>
  <c r="G14" i="3"/>
  <c r="E14" i="3"/>
  <c r="Q13" i="2"/>
  <c r="P14" i="2"/>
  <c r="R14" i="2"/>
  <c r="N14" i="2"/>
  <c r="L14" i="2"/>
  <c r="I14" i="2"/>
  <c r="E13" i="2"/>
  <c r="E14" i="2"/>
  <c r="P13" i="2"/>
  <c r="R13" i="2"/>
  <c r="V13" i="2"/>
  <c r="L13" i="2"/>
  <c r="I13" i="2"/>
  <c r="N13" i="2"/>
  <c r="R13" i="3"/>
  <c r="T13" i="3"/>
  <c r="P13" i="3"/>
  <c r="N13" i="3"/>
  <c r="L13" i="3"/>
  <c r="G13" i="3"/>
  <c r="E13" i="3"/>
  <c r="Q11" i="3"/>
  <c r="R11" i="3"/>
  <c r="S11" i="3" s="1"/>
  <c r="T11" i="3"/>
  <c r="U11" i="3" s="1"/>
  <c r="V11" i="3"/>
  <c r="W11" i="3" s="1"/>
  <c r="Q12" i="3"/>
  <c r="R12" i="3"/>
  <c r="T12" i="3"/>
  <c r="U12" i="3" s="1"/>
  <c r="V12" i="3"/>
  <c r="W12" i="3" s="1"/>
  <c r="P11" i="3"/>
  <c r="P12" i="3"/>
  <c r="N11" i="3"/>
  <c r="N12" i="3"/>
  <c r="L11" i="3"/>
  <c r="L12" i="3"/>
  <c r="I11" i="3"/>
  <c r="I12" i="3"/>
  <c r="G11" i="3"/>
  <c r="G12" i="3"/>
  <c r="E11" i="3"/>
  <c r="E12" i="3"/>
  <c r="E12" i="2"/>
  <c r="G11" i="2"/>
  <c r="G12" i="2"/>
  <c r="I11" i="2"/>
  <c r="I12" i="2"/>
  <c r="L11" i="2"/>
  <c r="L12" i="2"/>
  <c r="N11" i="2"/>
  <c r="N12" i="2"/>
  <c r="P11" i="2"/>
  <c r="Q11" i="2"/>
  <c r="R11" i="2"/>
  <c r="S11" i="2" s="1"/>
  <c r="T11" i="2"/>
  <c r="V11" i="2"/>
  <c r="P12" i="2"/>
  <c r="Q12" i="2"/>
  <c r="U12" i="2" s="1"/>
  <c r="R12" i="2"/>
  <c r="T12" i="2"/>
  <c r="V12" i="2"/>
  <c r="E11" i="2"/>
  <c r="P10" i="3"/>
  <c r="Q10" i="3"/>
  <c r="R10" i="3"/>
  <c r="T10" i="3"/>
  <c r="V10" i="3"/>
  <c r="N10" i="3"/>
  <c r="L10" i="3"/>
  <c r="N10" i="2"/>
  <c r="L10" i="2"/>
  <c r="I10" i="2"/>
  <c r="G10" i="2"/>
  <c r="E10" i="2"/>
  <c r="P10" i="2"/>
  <c r="Q10" i="2"/>
  <c r="R10" i="2"/>
  <c r="T10" i="2"/>
  <c r="V10" i="2"/>
  <c r="I10" i="3"/>
  <c r="G10" i="3"/>
  <c r="E10" i="3"/>
  <c r="P7" i="3"/>
  <c r="Q7" i="3"/>
  <c r="R7" i="3"/>
  <c r="T7" i="3"/>
  <c r="U7" i="3" s="1"/>
  <c r="V7" i="3"/>
  <c r="W7" i="3" s="1"/>
  <c r="N7" i="3"/>
  <c r="L7" i="3"/>
  <c r="I7" i="3"/>
  <c r="G7" i="3"/>
  <c r="E7" i="3"/>
  <c r="P7" i="2"/>
  <c r="Q7" i="2"/>
  <c r="R7" i="2"/>
  <c r="T7" i="2"/>
  <c r="V7" i="2"/>
  <c r="N7" i="2"/>
  <c r="L7" i="2"/>
  <c r="I7" i="2"/>
  <c r="G6" i="2"/>
  <c r="G7" i="2"/>
  <c r="E7" i="2"/>
  <c r="P6" i="2"/>
  <c r="Q6" i="2"/>
  <c r="R6" i="2"/>
  <c r="T6" i="2"/>
  <c r="V6" i="2"/>
  <c r="N6" i="2"/>
  <c r="L6" i="2"/>
  <c r="I5" i="2"/>
  <c r="I6" i="2"/>
  <c r="G5" i="2"/>
  <c r="E5" i="2"/>
  <c r="E6" i="2"/>
  <c r="P6" i="3"/>
  <c r="Q6" i="3"/>
  <c r="S6" i="3" s="1"/>
  <c r="R6" i="3"/>
  <c r="T6" i="3"/>
  <c r="V6" i="3"/>
  <c r="W6" i="3"/>
  <c r="N6" i="3"/>
  <c r="L6" i="3"/>
  <c r="I6" i="3"/>
  <c r="G6" i="3"/>
  <c r="E6" i="3"/>
  <c r="R5" i="2"/>
  <c r="Q5" i="2"/>
  <c r="T5" i="2"/>
  <c r="V5" i="2"/>
  <c r="P5" i="2"/>
  <c r="N5" i="2"/>
  <c r="L5" i="2"/>
  <c r="P5" i="3"/>
  <c r="Q5" i="3"/>
  <c r="R5" i="3"/>
  <c r="S5" i="3"/>
  <c r="T5" i="3"/>
  <c r="V5" i="3"/>
  <c r="W5" i="3"/>
  <c r="N5" i="3"/>
  <c r="L5" i="3"/>
  <c r="I5" i="3"/>
  <c r="G5" i="3"/>
  <c r="E5" i="3"/>
  <c r="Q4" i="3"/>
  <c r="V4" i="3"/>
  <c r="W4" i="3"/>
  <c r="T4" i="3"/>
  <c r="R4" i="3"/>
  <c r="S4" i="3"/>
  <c r="P4" i="3"/>
  <c r="N4" i="3"/>
  <c r="L4" i="3"/>
  <c r="I4" i="3"/>
  <c r="G4" i="3"/>
  <c r="E4" i="3"/>
  <c r="Q4" i="2"/>
  <c r="V4" i="2"/>
  <c r="W4" i="2"/>
  <c r="T4" i="2"/>
  <c r="U4" i="2" s="1"/>
  <c r="R4" i="2"/>
  <c r="S4" i="2"/>
  <c r="E4" i="2"/>
  <c r="P4" i="2"/>
  <c r="N4" i="2"/>
  <c r="L4" i="1"/>
  <c r="L4" i="2"/>
  <c r="I4" i="2"/>
  <c r="G4" i="2"/>
  <c r="Q5" i="1"/>
  <c r="W5" i="1" s="1"/>
  <c r="Q6" i="1"/>
  <c r="U6" i="1" s="1"/>
  <c r="W6" i="1"/>
  <c r="Q7" i="1"/>
  <c r="V7" i="1"/>
  <c r="Q10" i="1"/>
  <c r="V10" i="1"/>
  <c r="W10" i="1" s="1"/>
  <c r="Q11" i="1"/>
  <c r="V11" i="1"/>
  <c r="W11" i="1"/>
  <c r="Q12" i="1"/>
  <c r="W12" i="1" s="1"/>
  <c r="V12" i="1"/>
  <c r="Q13" i="1"/>
  <c r="U13" i="1" s="1"/>
  <c r="V13" i="1"/>
  <c r="W13" i="1" s="1"/>
  <c r="Q14" i="1"/>
  <c r="V14" i="1"/>
  <c r="Q15" i="1"/>
  <c r="S15" i="1" s="1"/>
  <c r="V15" i="1"/>
  <c r="Q16" i="1"/>
  <c r="V16" i="1"/>
  <c r="W16" i="1"/>
  <c r="Q17" i="1"/>
  <c r="W17" i="1" s="1"/>
  <c r="V17" i="1"/>
  <c r="Q18" i="1"/>
  <c r="V18" i="1"/>
  <c r="Q19" i="1"/>
  <c r="V19" i="1"/>
  <c r="W19" i="1"/>
  <c r="Q20" i="1"/>
  <c r="V20" i="1"/>
  <c r="Q21" i="1"/>
  <c r="V21" i="1"/>
  <c r="Q22" i="1"/>
  <c r="V22" i="1"/>
  <c r="Q23" i="1"/>
  <c r="S23" i="1" s="1"/>
  <c r="V23" i="1"/>
  <c r="Q24" i="1"/>
  <c r="V24" i="1"/>
  <c r="Q25" i="1"/>
  <c r="V25" i="1"/>
  <c r="Q26" i="1"/>
  <c r="V26" i="1"/>
  <c r="Q27" i="1"/>
  <c r="V27" i="1"/>
  <c r="Q29" i="1"/>
  <c r="U29" i="1" s="1"/>
  <c r="V29" i="1"/>
  <c r="Q30" i="1"/>
  <c r="S30" i="1" s="1"/>
  <c r="V30" i="1"/>
  <c r="Q32" i="1"/>
  <c r="V32" i="1"/>
  <c r="W32" i="1" s="1"/>
  <c r="Q34" i="1"/>
  <c r="W34" i="1" s="1"/>
  <c r="V34" i="1"/>
  <c r="Q36" i="1"/>
  <c r="V36" i="1"/>
  <c r="Q37" i="1"/>
  <c r="V37" i="1"/>
  <c r="W37" i="1"/>
  <c r="Q38" i="1"/>
  <c r="W38" i="1" s="1"/>
  <c r="V38" i="1"/>
  <c r="Q39" i="1"/>
  <c r="W39" i="1"/>
  <c r="Q40" i="1"/>
  <c r="W40" i="1" s="1"/>
  <c r="V40" i="1"/>
  <c r="Q41" i="1"/>
  <c r="V41" i="1"/>
  <c r="Q42" i="1"/>
  <c r="V42" i="1"/>
  <c r="W42" i="1"/>
  <c r="Q43" i="1"/>
  <c r="V43" i="1"/>
  <c r="Q44" i="1"/>
  <c r="V44" i="1"/>
  <c r="Q45" i="1"/>
  <c r="V45" i="1"/>
  <c r="Q46" i="1"/>
  <c r="U46" i="1" s="1"/>
  <c r="V46" i="1"/>
  <c r="W46" i="1" s="1"/>
  <c r="Q47" i="1"/>
  <c r="W47" i="1" s="1"/>
  <c r="Q48" i="1"/>
  <c r="S48" i="1" s="1"/>
  <c r="V48" i="1"/>
  <c r="W48" i="1" s="1"/>
  <c r="Q49" i="1"/>
  <c r="S49" i="1" s="1"/>
  <c r="V49" i="1"/>
  <c r="Q50" i="1"/>
  <c r="W50" i="1" s="1"/>
  <c r="V50" i="1"/>
  <c r="Q51" i="1"/>
  <c r="W51" i="1" s="1"/>
  <c r="V51" i="1"/>
  <c r="Q53" i="1"/>
  <c r="Q55" i="1"/>
  <c r="U55" i="1" s="1"/>
  <c r="V55" i="1"/>
  <c r="Q57" i="1"/>
  <c r="V57" i="1"/>
  <c r="Q58" i="1"/>
  <c r="Q62" i="1"/>
  <c r="W62" i="1" s="1"/>
  <c r="Q4" i="1"/>
  <c r="V4" i="1"/>
  <c r="W4" i="1" s="1"/>
  <c r="T12" i="1"/>
  <c r="T10" i="1"/>
  <c r="T11" i="1"/>
  <c r="U11" i="1" s="1"/>
  <c r="T15" i="1"/>
  <c r="T16" i="1"/>
  <c r="U16" i="1" s="1"/>
  <c r="T17" i="1"/>
  <c r="U17" i="1"/>
  <c r="T18" i="1"/>
  <c r="T19" i="1"/>
  <c r="U19" i="1"/>
  <c r="T20" i="1"/>
  <c r="T21" i="1"/>
  <c r="T22" i="1"/>
  <c r="T23" i="1"/>
  <c r="U23" i="1" s="1"/>
  <c r="T24" i="1"/>
  <c r="T25" i="1"/>
  <c r="T26" i="1"/>
  <c r="T27" i="1"/>
  <c r="U27" i="1"/>
  <c r="T29" i="1"/>
  <c r="T30" i="1"/>
  <c r="T32" i="1"/>
  <c r="T34" i="1"/>
  <c r="T36" i="1"/>
  <c r="U36" i="1"/>
  <c r="T37" i="1"/>
  <c r="U37" i="1" s="1"/>
  <c r="T38" i="1"/>
  <c r="T39" i="1"/>
  <c r="U39" i="1"/>
  <c r="U40" i="1"/>
  <c r="T41" i="1"/>
  <c r="T42" i="1"/>
  <c r="U42" i="1"/>
  <c r="T43" i="1"/>
  <c r="T44" i="1"/>
  <c r="T45" i="1"/>
  <c r="T46" i="1"/>
  <c r="T47" i="1"/>
  <c r="U47" i="1" s="1"/>
  <c r="T48" i="1"/>
  <c r="T49" i="1"/>
  <c r="T50" i="1"/>
  <c r="T51" i="1"/>
  <c r="U51" i="1"/>
  <c r="T53" i="1"/>
  <c r="T55" i="1"/>
  <c r="T57" i="1"/>
  <c r="U57" i="1"/>
  <c r="T58" i="1"/>
  <c r="T62" i="1"/>
  <c r="U62" i="1" s="1"/>
  <c r="T5" i="1"/>
  <c r="T6" i="1"/>
  <c r="T7" i="1"/>
  <c r="T4" i="1"/>
  <c r="R10" i="1"/>
  <c r="S10" i="1" s="1"/>
  <c r="R11" i="1"/>
  <c r="R12" i="1"/>
  <c r="R13" i="1"/>
  <c r="R14" i="1"/>
  <c r="R15" i="1"/>
  <c r="R16" i="1"/>
  <c r="S16" i="1"/>
  <c r="R17" i="1"/>
  <c r="R18" i="1"/>
  <c r="R19" i="1"/>
  <c r="S19" i="1"/>
  <c r="R20" i="1"/>
  <c r="R21" i="1"/>
  <c r="S21" i="1"/>
  <c r="R22" i="1"/>
  <c r="S22" i="1" s="1"/>
  <c r="R23" i="1"/>
  <c r="R24" i="1"/>
  <c r="R25" i="1"/>
  <c r="R26" i="1"/>
  <c r="S26" i="1" s="1"/>
  <c r="R27" i="1"/>
  <c r="R29" i="1"/>
  <c r="S29" i="1" s="1"/>
  <c r="R30" i="1"/>
  <c r="R32" i="1"/>
  <c r="R34" i="1"/>
  <c r="R36" i="1"/>
  <c r="R37" i="1"/>
  <c r="S37" i="1"/>
  <c r="R38" i="1"/>
  <c r="S38" i="1" s="1"/>
  <c r="R39" i="1"/>
  <c r="S39" i="1" s="1"/>
  <c r="R40" i="1"/>
  <c r="R41" i="1"/>
  <c r="R42" i="1"/>
  <c r="S42" i="1" s="1"/>
  <c r="R43" i="1"/>
  <c r="R44" i="1"/>
  <c r="R45" i="1"/>
  <c r="R46" i="1"/>
  <c r="R47" i="1"/>
  <c r="S47" i="1" s="1"/>
  <c r="R48" i="1"/>
  <c r="R49" i="1"/>
  <c r="R50" i="1"/>
  <c r="S50" i="1" s="1"/>
  <c r="R51" i="1"/>
  <c r="R53" i="1"/>
  <c r="R55" i="1"/>
  <c r="R57" i="1"/>
  <c r="S57" i="1" s="1"/>
  <c r="R58" i="1"/>
  <c r="R62" i="1"/>
  <c r="S62" i="1" s="1"/>
  <c r="R5" i="1"/>
  <c r="R6" i="1"/>
  <c r="S6" i="1"/>
  <c r="R7" i="1"/>
  <c r="R4" i="1"/>
  <c r="P30" i="1"/>
  <c r="P5" i="1"/>
  <c r="P6" i="1"/>
  <c r="P7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9" i="1"/>
  <c r="P32" i="1"/>
  <c r="P34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3" i="1"/>
  <c r="P55" i="1"/>
  <c r="P57" i="1"/>
  <c r="P58" i="1"/>
  <c r="P62" i="1"/>
  <c r="P4" i="1"/>
  <c r="N5" i="1"/>
  <c r="N6" i="1"/>
  <c r="N7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9" i="1"/>
  <c r="N30" i="1"/>
  <c r="N32" i="1"/>
  <c r="N34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3" i="1"/>
  <c r="N55" i="1"/>
  <c r="N57" i="1"/>
  <c r="N58" i="1"/>
  <c r="N62" i="1"/>
  <c r="N4" i="1"/>
  <c r="L5" i="1"/>
  <c r="L6" i="1"/>
  <c r="L7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9" i="1"/>
  <c r="L30" i="1"/>
  <c r="L32" i="1"/>
  <c r="L34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3" i="1"/>
  <c r="L55" i="1"/>
  <c r="L57" i="1"/>
  <c r="L58" i="1"/>
  <c r="L62" i="1"/>
  <c r="I7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30" i="1"/>
  <c r="I34" i="1"/>
  <c r="I36" i="1"/>
  <c r="I37" i="1"/>
  <c r="I38" i="1"/>
  <c r="I40" i="1"/>
  <c r="I41" i="1"/>
  <c r="I42" i="1"/>
  <c r="I43" i="1"/>
  <c r="I44" i="1"/>
  <c r="I45" i="1"/>
  <c r="I46" i="1"/>
  <c r="I48" i="1"/>
  <c r="I49" i="1"/>
  <c r="I50" i="1"/>
  <c r="I51" i="1"/>
  <c r="I55" i="1"/>
  <c r="I57" i="1"/>
  <c r="I4" i="1"/>
  <c r="G10" i="1"/>
  <c r="G11" i="1"/>
  <c r="G12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30" i="1"/>
  <c r="G32" i="1"/>
  <c r="G34" i="1"/>
  <c r="G36" i="1"/>
  <c r="G37" i="1"/>
  <c r="G38" i="1"/>
  <c r="G39" i="1"/>
  <c r="G41" i="1"/>
  <c r="G42" i="1"/>
  <c r="G43" i="1"/>
  <c r="G44" i="1"/>
  <c r="G45" i="1"/>
  <c r="G46" i="1"/>
  <c r="G47" i="1"/>
  <c r="G48" i="1"/>
  <c r="G49" i="1"/>
  <c r="G50" i="1"/>
  <c r="G51" i="1"/>
  <c r="G53" i="1"/>
  <c r="G55" i="1"/>
  <c r="G57" i="1"/>
  <c r="G58" i="1"/>
  <c r="G62" i="1"/>
  <c r="G5" i="1"/>
  <c r="G6" i="1"/>
  <c r="G7" i="1"/>
  <c r="G4" i="1"/>
  <c r="E2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30" i="1"/>
  <c r="E32" i="1"/>
  <c r="E34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3" i="1"/>
  <c r="E55" i="1"/>
  <c r="E57" i="1"/>
  <c r="E58" i="1"/>
  <c r="E62" i="1"/>
  <c r="E5" i="1"/>
  <c r="E6" i="1"/>
  <c r="E7" i="1"/>
  <c r="E4" i="1"/>
  <c r="S7" i="4"/>
  <c r="U53" i="1"/>
  <c r="U10" i="1"/>
  <c r="S5" i="2"/>
  <c r="U5" i="2"/>
  <c r="W18" i="3"/>
  <c r="S62" i="2"/>
  <c r="U62" i="2"/>
  <c r="W62" i="2"/>
  <c r="S23" i="4"/>
  <c r="W23" i="4"/>
  <c r="S15" i="4"/>
  <c r="W15" i="4"/>
  <c r="U48" i="1"/>
  <c r="W26" i="1"/>
  <c r="U26" i="1"/>
  <c r="W23" i="1"/>
  <c r="W14" i="2"/>
  <c r="U15" i="3"/>
  <c r="W15" i="3"/>
  <c r="S26" i="4"/>
  <c r="U26" i="4"/>
  <c r="W26" i="4"/>
  <c r="S18" i="4"/>
  <c r="U18" i="4"/>
  <c r="S10" i="4"/>
  <c r="U10" i="4"/>
  <c r="S6" i="2"/>
  <c r="S13" i="4"/>
  <c r="S45" i="1"/>
  <c r="U45" i="1"/>
  <c r="W49" i="1"/>
  <c r="U49" i="1"/>
  <c r="S13" i="2"/>
  <c r="W13" i="2"/>
  <c r="W16" i="3"/>
  <c r="S16" i="3"/>
  <c r="W4" i="4"/>
  <c r="U4" i="4"/>
  <c r="S4" i="4"/>
  <c r="U30" i="4"/>
  <c r="U24" i="4"/>
  <c r="W24" i="4"/>
  <c r="S16" i="4"/>
  <c r="U16" i="4"/>
  <c r="W16" i="4"/>
  <c r="U6" i="4"/>
  <c r="W6" i="4"/>
  <c r="U4" i="1"/>
  <c r="U38" i="1"/>
  <c r="S14" i="1"/>
  <c r="W14" i="1"/>
  <c r="U14" i="1"/>
  <c r="W25" i="4"/>
  <c r="S4" i="1"/>
  <c r="W17" i="3"/>
  <c r="U29" i="4"/>
  <c r="S20" i="4"/>
  <c r="U20" i="4"/>
  <c r="W20" i="4"/>
  <c r="U12" i="4"/>
  <c r="W12" i="4"/>
  <c r="S32" i="1"/>
  <c r="U32" i="1"/>
  <c r="S5" i="4"/>
  <c r="W5" i="4"/>
  <c r="S46" i="1"/>
  <c r="U18" i="1"/>
  <c r="U6" i="2"/>
  <c r="U18" i="3"/>
  <c r="S24" i="3"/>
  <c r="U24" i="3"/>
  <c r="W24" i="3"/>
  <c r="S27" i="4"/>
  <c r="W27" i="4"/>
  <c r="S19" i="4"/>
  <c r="U19" i="4"/>
  <c r="W19" i="4"/>
  <c r="S11" i="4"/>
  <c r="W11" i="4"/>
  <c r="U10" i="3"/>
  <c r="W10" i="3"/>
  <c r="S58" i="2"/>
  <c r="U32" i="4"/>
  <c r="S22" i="4"/>
  <c r="U22" i="4"/>
  <c r="S14" i="4"/>
  <c r="U14" i="4"/>
  <c r="S29" i="2"/>
  <c r="S27" i="2"/>
  <c r="S26" i="2"/>
  <c r="S25" i="2"/>
  <c r="W62" i="3"/>
  <c r="W58" i="3"/>
  <c r="W39" i="3"/>
  <c r="W37" i="3"/>
  <c r="W36" i="3"/>
  <c r="W34" i="3"/>
  <c r="W32" i="3"/>
  <c r="W29" i="3"/>
  <c r="W27" i="3"/>
  <c r="W26" i="3"/>
  <c r="W25" i="3"/>
  <c r="W18" i="2"/>
  <c r="W34" i="4"/>
  <c r="W32" i="4"/>
  <c r="W30" i="4"/>
  <c r="U58" i="1" l="1"/>
  <c r="U43" i="1"/>
  <c r="U20" i="1"/>
  <c r="W7" i="2"/>
  <c r="W10" i="2"/>
  <c r="U29" i="3"/>
  <c r="S29" i="3"/>
  <c r="W24" i="5"/>
  <c r="S24" i="5"/>
  <c r="S41" i="5"/>
  <c r="S40" i="1"/>
  <c r="S12" i="1"/>
  <c r="U30" i="1"/>
  <c r="W44" i="1"/>
  <c r="S41" i="1"/>
  <c r="W36" i="1"/>
  <c r="W27" i="1"/>
  <c r="W25" i="1"/>
  <c r="W21" i="1"/>
  <c r="W18" i="1"/>
  <c r="W6" i="2"/>
  <c r="U11" i="2"/>
  <c r="W11" i="2"/>
  <c r="S30" i="2"/>
  <c r="W26" i="2"/>
  <c r="U26" i="2"/>
  <c r="U55" i="3"/>
  <c r="S51" i="3"/>
  <c r="U49" i="3"/>
  <c r="S47" i="3"/>
  <c r="U45" i="3"/>
  <c r="S36" i="3"/>
  <c r="U58" i="4"/>
  <c r="U55" i="4"/>
  <c r="U51" i="4"/>
  <c r="U49" i="4"/>
  <c r="U47" i="4"/>
  <c r="U45" i="4"/>
  <c r="U43" i="4"/>
  <c r="U41" i="4"/>
  <c r="U39" i="4"/>
  <c r="U37" i="4"/>
  <c r="S18" i="5"/>
  <c r="S11" i="5"/>
  <c r="S51" i="1"/>
  <c r="U44" i="1"/>
  <c r="W57" i="1"/>
  <c r="S53" i="1"/>
  <c r="W45" i="1"/>
  <c r="W43" i="1"/>
  <c r="W20" i="1"/>
  <c r="U6" i="3"/>
  <c r="S14" i="2"/>
  <c r="U14" i="3"/>
  <c r="W14" i="3"/>
  <c r="S15" i="3"/>
  <c r="U15" i="2"/>
  <c r="U23" i="3"/>
  <c r="W22" i="3"/>
  <c r="S22" i="2"/>
  <c r="S43" i="3"/>
  <c r="W43" i="3"/>
  <c r="W41" i="3"/>
  <c r="S32" i="3"/>
  <c r="U32" i="5"/>
  <c r="S32" i="5"/>
  <c r="W32" i="5"/>
  <c r="U37" i="5"/>
  <c r="S44" i="1"/>
  <c r="S25" i="1"/>
  <c r="S17" i="1"/>
  <c r="U50" i="1"/>
  <c r="U25" i="1"/>
  <c r="U15" i="1"/>
  <c r="W58" i="1"/>
  <c r="W55" i="1"/>
  <c r="W30" i="1"/>
  <c r="W29" i="1"/>
  <c r="U7" i="2"/>
  <c r="U10" i="2"/>
  <c r="S10" i="3"/>
  <c r="W12" i="2"/>
  <c r="S23" i="2"/>
  <c r="W22" i="2"/>
  <c r="U58" i="3"/>
  <c r="S44" i="3"/>
  <c r="S34" i="3"/>
  <c r="U26" i="3"/>
  <c r="U34" i="4"/>
  <c r="S6" i="5"/>
  <c r="W22" i="5"/>
  <c r="S27" i="5"/>
  <c r="S24" i="1"/>
  <c r="W22" i="1"/>
  <c r="S11" i="1"/>
  <c r="W7" i="1"/>
  <c r="U4" i="3"/>
  <c r="U5" i="3"/>
  <c r="W5" i="2"/>
  <c r="S7" i="3"/>
  <c r="S12" i="2"/>
  <c r="S18" i="2"/>
  <c r="S18" i="3"/>
  <c r="W30" i="2"/>
  <c r="W29" i="2"/>
  <c r="W25" i="2"/>
  <c r="S57" i="3"/>
  <c r="U53" i="3"/>
  <c r="S50" i="3"/>
  <c r="U48" i="3"/>
  <c r="S46" i="3"/>
  <c r="S42" i="3"/>
  <c r="U40" i="3"/>
  <c r="S39" i="3"/>
  <c r="S38" i="3"/>
  <c r="S58" i="4"/>
  <c r="S55" i="4"/>
  <c r="S51" i="4"/>
  <c r="S49" i="4"/>
  <c r="S47" i="4"/>
  <c r="S45" i="4"/>
  <c r="S43" i="4"/>
  <c r="S41" i="4"/>
  <c r="S39" i="4"/>
  <c r="S37" i="4"/>
  <c r="S29" i="4"/>
  <c r="U27" i="4"/>
  <c r="S25" i="4"/>
  <c r="S24" i="4"/>
  <c r="U23" i="4"/>
  <c r="W22" i="4"/>
  <c r="S21" i="4"/>
  <c r="W18" i="4"/>
  <c r="S17" i="4"/>
  <c r="U15" i="4"/>
  <c r="W14" i="4"/>
  <c r="U13" i="4"/>
  <c r="S12" i="4"/>
  <c r="U11" i="4"/>
  <c r="W10" i="4"/>
  <c r="U7" i="4"/>
  <c r="S6" i="4"/>
  <c r="U5" i="4"/>
  <c r="S35" i="3"/>
  <c r="U6" i="5"/>
  <c r="S10" i="5"/>
  <c r="W12" i="5"/>
  <c r="U14" i="5"/>
  <c r="W17" i="5"/>
  <c r="U27" i="5"/>
  <c r="S38" i="5"/>
  <c r="W18" i="5"/>
  <c r="U26" i="5"/>
  <c r="U45" i="5"/>
  <c r="W49" i="5"/>
  <c r="U30" i="3"/>
  <c r="S30" i="3"/>
  <c r="U29" i="5"/>
  <c r="S29" i="5"/>
  <c r="S18" i="1"/>
  <c r="U41" i="1"/>
  <c r="U24" i="1"/>
  <c r="S13" i="3"/>
  <c r="S21" i="3"/>
  <c r="W21" i="3"/>
  <c r="S19" i="3"/>
  <c r="W19" i="3"/>
  <c r="S20" i="2"/>
  <c r="W20" i="2"/>
  <c r="U37" i="3"/>
  <c r="S37" i="3"/>
  <c r="S30" i="4"/>
  <c r="U7" i="5"/>
  <c r="S7" i="5"/>
  <c r="W19" i="5"/>
  <c r="S19" i="5"/>
  <c r="U19" i="5"/>
  <c r="S20" i="5"/>
  <c r="U20" i="5"/>
  <c r="U17" i="3"/>
  <c r="W17" i="4"/>
  <c r="U25" i="4"/>
  <c r="W21" i="4"/>
  <c r="W53" i="1"/>
  <c r="W30" i="3"/>
  <c r="W58" i="2"/>
  <c r="U34" i="1"/>
  <c r="W41" i="1"/>
  <c r="U17" i="4"/>
  <c r="W15" i="2"/>
  <c r="U22" i="1"/>
  <c r="W13" i="4"/>
  <c r="U21" i="4"/>
  <c r="W7" i="4"/>
  <c r="S7" i="1"/>
  <c r="S5" i="1"/>
  <c r="S58" i="1"/>
  <c r="S55" i="1"/>
  <c r="S43" i="1"/>
  <c r="S36" i="1"/>
  <c r="S27" i="1"/>
  <c r="S20" i="1"/>
  <c r="S13" i="1"/>
  <c r="U7" i="1"/>
  <c r="U5" i="1"/>
  <c r="U21" i="1"/>
  <c r="U12" i="1"/>
  <c r="W24" i="1"/>
  <c r="S7" i="2"/>
  <c r="S10" i="2"/>
  <c r="S12" i="3"/>
  <c r="U13" i="3"/>
  <c r="W16" i="2"/>
  <c r="U21" i="3"/>
  <c r="U19" i="3"/>
  <c r="U20" i="2"/>
  <c r="W25" i="5"/>
  <c r="U25" i="5"/>
  <c r="U39" i="5"/>
  <c r="W15" i="1"/>
  <c r="S15" i="2"/>
  <c r="S34" i="1"/>
  <c r="S20" i="3"/>
  <c r="W20" i="3"/>
  <c r="S21" i="2"/>
  <c r="W21" i="2"/>
  <c r="S19" i="2"/>
  <c r="W19" i="2"/>
  <c r="U62" i="3"/>
  <c r="S62" i="3"/>
  <c r="U25" i="3"/>
  <c r="S25" i="3"/>
  <c r="U16" i="5"/>
  <c r="S16" i="5"/>
  <c r="U21" i="5"/>
  <c r="S21" i="5"/>
  <c r="W21" i="5"/>
  <c r="U36" i="5"/>
  <c r="W36" i="5"/>
  <c r="S36" i="5"/>
  <c r="W43" i="5"/>
  <c r="S43" i="5"/>
  <c r="U43" i="5"/>
  <c r="W55" i="3"/>
  <c r="W53" i="3"/>
  <c r="W51" i="3"/>
  <c r="W50" i="3"/>
  <c r="W49" i="3"/>
  <c r="W48" i="3"/>
  <c r="W47" i="3"/>
  <c r="W46" i="3"/>
  <c r="W45" i="3"/>
  <c r="W4" i="5"/>
  <c r="W10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3" authorId="0" shapeId="0" xr:uid="{3BA90249-9BB5-4448-B069-7B5148F7D3D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certain cells seem to be missing data. For some SDs, total REAL FI enrolment should be higher. So take the % changes in FI enrolment with a grain of salt: % could be higher or lower than reality</t>
        </r>
      </text>
    </comment>
    <comment ref="S3" authorId="0" shapeId="0" xr:uid="{1D95E701-AB13-4115-8199-00B760D8C1B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some averages are missing data for 1 year. So some are averages of 4 cohorts</t>
        </r>
      </text>
    </comment>
    <comment ref="U3" authorId="0" shapeId="0" xr:uid="{BB8A4C3C-A48F-45DD-A157-9CCED0B144D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some averages are missing data for 1 year. So some are averages of 4 cohorts</t>
        </r>
      </text>
    </comment>
    <comment ref="R5" authorId="0" shapeId="0" xr:uid="{35CF154D-17CD-4F0A-8E55-E935A26B9F2E}">
      <text>
        <r>
          <rPr>
            <b/>
            <sz val="10"/>
            <color indexed="81"/>
            <rFont val="Calibri"/>
            <family val="2"/>
          </rPr>
          <t xml:space="preserve">Negative attrition due to Gr 4 program entry.
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5" authorId="0" shapeId="0" xr:uid="{30116576-8601-4CAD-B2AF-F7400FC8DCD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Gr 4 entry year</t>
        </r>
      </text>
    </comment>
    <comment ref="N29" authorId="0" shapeId="0" xr:uid="{87452C22-3B5A-48F5-A6D4-1518772F2320}">
      <text>
        <r>
          <rPr>
            <b/>
            <sz val="10"/>
            <color indexed="81"/>
            <rFont val="Calibri"/>
            <family val="2"/>
          </rPr>
          <t>The % of students in FI is low because the program only began in 2010.</t>
        </r>
      </text>
    </comment>
    <comment ref="E32" authorId="0" shapeId="0" xr:uid="{BFFFC18F-4E74-4BBA-97A0-7C5F198F0BB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Recently started EFI
</t>
        </r>
      </text>
    </comment>
    <comment ref="F32" authorId="0" shapeId="0" xr:uid="{A13089A1-1B41-4D77-A948-086FF9BBE60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recently started EFI</t>
        </r>
      </text>
    </comment>
    <comment ref="T49" authorId="0" shapeId="0" xr:uid="{EAEE7B00-B54B-4E48-8C34-ED11D9E5E6F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This cohort got 8 additional students between grades 7 and 8. So attrition cancelled out.</t>
        </r>
      </text>
    </comment>
    <comment ref="G58" authorId="0" shapeId="0" xr:uid="{6613A20D-6B8C-48B6-A41E-0E76C6479A1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had LFI for a while, but only started ELI in 2003/04</t>
        </r>
      </text>
    </comment>
    <comment ref="R58" authorId="0" shapeId="0" xr:uid="{E8060399-A594-417A-984D-EF62F09957D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this cohort gained 5 students between grades 1 and 2. Cancelled out attrition</t>
        </r>
      </text>
    </comment>
    <comment ref="S58" authorId="0" shapeId="0" xr:uid="{6E1E4682-7DEF-445F-B29A-90D9E37B4CC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partly because of low attrition, partly because of student gain in random grades...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certain cells seem to be missing data. For some SDs, total REAL FI enrolment should be higher. So take the % changes in FI enrolment with a grain of salt: % could be higher or lower than reality</t>
        </r>
      </text>
    </comment>
    <comment ref="Y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some averages are missing data for 1 year. So some are averages of 4 cohorts</t>
        </r>
      </text>
    </comment>
    <comment ref="AA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some averages are missing data for 1 year. So some are averages of 4 cohorts</t>
        </r>
      </text>
    </comment>
    <comment ref="Y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Gr 4 entry year</t>
        </r>
      </text>
    </comment>
    <comment ref="Q29" authorId="0" shapeId="0" xr:uid="{00000000-0006-0000-0000-000005000000}">
      <text>
        <r>
          <rPr>
            <b/>
            <sz val="10"/>
            <color indexed="81"/>
            <rFont val="Calibri"/>
            <family val="2"/>
          </rPr>
          <t>The % of students in FI is low because the program only began in 2010.</t>
        </r>
      </text>
    </comment>
    <comment ref="E3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Recently started EFI
</t>
        </r>
      </text>
    </comment>
    <comment ref="G32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recently started EFI</t>
        </r>
      </text>
    </comment>
    <comment ref="Z49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This cohort got 8 additional students between grades 7 and 8. So attrition cancelled out.</t>
        </r>
      </text>
    </comment>
    <comment ref="I58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had LFI for a while, but only started ELI in 2003/04</t>
        </r>
      </text>
    </comment>
    <comment ref="X58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this cohort gained 5 students between grades 1 and 2. Cancelled out attrition</t>
        </r>
      </text>
    </comment>
    <comment ref="Y58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partly because of low attrition, partly because of student gain in random grades...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3" authorId="0" shapeId="0" xr:uid="{2DC9A558-7F0D-447A-A4DC-AF06E2FCE5A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certain cells seem to be missing data. For some SDs, total REAL FI enrolment should be higher. So take the % changes in FI enrolment with a grain of salt: % could be higher or lower than reality</t>
        </r>
      </text>
    </comment>
    <comment ref="Y3" authorId="0" shapeId="0" xr:uid="{09D341EB-E758-493B-B1D3-5452E6B22EA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some averages are missing data for 1 year. So some are averages of 4 cohorts</t>
        </r>
      </text>
    </comment>
    <comment ref="AA3" authorId="0" shapeId="0" xr:uid="{3E1DE48C-8D57-4267-9E26-AE04BB094CB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some averages are missing data for 1 year. So some are averages of 4 cohorts</t>
        </r>
      </text>
    </comment>
    <comment ref="Y5" authorId="0" shapeId="0" xr:uid="{285D52F8-6024-46DD-AD47-CB372B05FB5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Gr 4 entry year</t>
        </r>
      </text>
    </comment>
    <comment ref="Q29" authorId="0" shapeId="0" xr:uid="{6D44B0E4-ED46-45BA-9242-D2EC4CA087BD}">
      <text>
        <r>
          <rPr>
            <b/>
            <sz val="10"/>
            <color indexed="81"/>
            <rFont val="Calibri"/>
            <family val="2"/>
          </rPr>
          <t>The % of students in FI is low because the program only began in 2010.</t>
        </r>
      </text>
    </comment>
    <comment ref="E32" authorId="0" shapeId="0" xr:uid="{C93D5EFF-7FC7-407A-AF1F-490AAD43B5B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Recently started EFI
</t>
        </r>
      </text>
    </comment>
    <comment ref="Z49" authorId="0" shapeId="0" xr:uid="{67732A19-1D7C-4702-B99B-5B92F49B20F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This cohort got 8 additional students between grades 7 and 8. So attrition cancelled out.</t>
        </r>
      </text>
    </comment>
    <comment ref="I58" authorId="0" shapeId="0" xr:uid="{DD1E2676-7D2F-496E-97DE-3ABA3569F57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had LFI for a while, but only started ELI in 2003/04</t>
        </r>
      </text>
    </comment>
    <comment ref="X58" authorId="0" shapeId="0" xr:uid="{6B1CE0B4-881D-447D-9D81-53847A03081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this cohort gained 5 students between grades 1 and 2. Cancelled out attrition</t>
        </r>
      </text>
    </comment>
    <comment ref="Y58" authorId="0" shapeId="0" xr:uid="{2EC34DE1-82CE-4171-90B2-F0645018456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partly because of low attrition, partly because of student gain in random grades...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3" authorId="0" shapeId="0" xr:uid="{4B54649D-844F-49FC-98CD-F10395A55C34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certain cells seem to be missing data. For some SDs, total REAL FI enrolment should be higher. So take the % changes in FI enrolment with a grain of salt: % could be higher or lower than reality</t>
        </r>
      </text>
    </comment>
    <comment ref="Y3" authorId="0" shapeId="0" xr:uid="{E2CCF64B-18F5-4199-82B1-2AAAB433915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some averages are missing data for 1 year. So some are averages of 4 cohorts</t>
        </r>
      </text>
    </comment>
    <comment ref="AA3" authorId="0" shapeId="0" xr:uid="{95496D68-9863-4D5B-899B-4D8F5FDDD24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some averages are missing data for 1 year. So some are averages of 4 cohorts</t>
        </r>
      </text>
    </comment>
    <comment ref="Y5" authorId="0" shapeId="0" xr:uid="{E7C9C353-8BFB-44DD-BA17-CF68DD9FC87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Gr 4 entry year</t>
        </r>
      </text>
    </comment>
    <comment ref="Q29" authorId="0" shapeId="0" xr:uid="{6D441E94-4F9D-4FEF-97B1-204CDE9E5D62}">
      <text>
        <r>
          <rPr>
            <b/>
            <sz val="10"/>
            <color indexed="81"/>
            <rFont val="Calibri"/>
            <family val="2"/>
          </rPr>
          <t>The % of students in FI is low because the program only began in 2010.</t>
        </r>
      </text>
    </comment>
    <comment ref="E32" authorId="0" shapeId="0" xr:uid="{2445A50C-2167-47F7-AC6B-5307E54C272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Recently started EFI
</t>
        </r>
      </text>
    </comment>
    <comment ref="O58" authorId="0" shapeId="0" xr:uid="{00720C31-15E2-4618-9993-BA5717B857C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had LFI for a while, but only started ELI in 2003/04</t>
        </r>
      </text>
    </comment>
    <comment ref="X58" authorId="0" shapeId="0" xr:uid="{89CF85F6-88F4-4908-9F83-B61FA2C4D35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this cohort gained 5 students between grades 1 and 2. Cancelled out attrition</t>
        </r>
      </text>
    </comment>
    <comment ref="Y58" authorId="0" shapeId="0" xr:uid="{2EC9301E-EF85-46D0-829C-C74B1062629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partly because of low attrition, partly because of student gain in random grades...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3" authorId="0" shapeId="0" xr:uid="{E6ADA3E4-1F4B-4790-B57F-D5700846F18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certain cells seem to be missing data. For some SDs, total REAL FI enrolment should be higher. So take the % changes in FI enrolment with a grain of salt: % could be higher or lower than reality</t>
        </r>
      </text>
    </comment>
    <comment ref="Y3" authorId="0" shapeId="0" xr:uid="{251BCC24-EECC-4203-A387-F1189E8D5064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some averages are missing data for 1 year. So some are averages of 4 cohorts</t>
        </r>
      </text>
    </comment>
    <comment ref="AA3" authorId="0" shapeId="0" xr:uid="{345369CE-1224-4058-B833-8D6FE3371736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some averages are missing data for 1 year. So some are averages of 4 cohorts</t>
        </r>
      </text>
    </comment>
    <comment ref="Y5" authorId="0" shapeId="0" xr:uid="{A9EF8212-8895-43D2-91C1-557B14A875A9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Gr 4 entry year</t>
        </r>
      </text>
    </comment>
    <comment ref="Q29" authorId="0" shapeId="0" xr:uid="{1ADBDA96-926B-4236-ACB9-92B2E5893A05}">
      <text>
        <r>
          <rPr>
            <b/>
            <sz val="10"/>
            <color indexed="81"/>
            <rFont val="Calibri"/>
            <family val="2"/>
          </rPr>
          <t>The % of students in FI is low because the program only began in 2010.</t>
        </r>
      </text>
    </comment>
    <comment ref="E32" authorId="0" shapeId="0" xr:uid="{580BD640-E370-4BEA-A99A-C1B7C68DD7F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Recently started EFI
</t>
        </r>
      </text>
    </comment>
    <comment ref="I58" authorId="0" shapeId="0" xr:uid="{DB78B367-32A4-4C4C-981A-04E696FBECE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had LFI for a while, but only started ELI in 2003/04</t>
        </r>
      </text>
    </comment>
    <comment ref="X58" authorId="0" shapeId="0" xr:uid="{EB5C6F7B-10BD-4556-8EED-42909F07F39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this cohort gained 5 students between grades 1 and 2. Cancelled out attrition</t>
        </r>
      </text>
    </comment>
    <comment ref="Y58" authorId="0" shapeId="0" xr:uid="{686CEAB6-5399-489B-A97B-2E07F96AD91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partly because of low attrition, partly because of student gain in random grades...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3" authorId="0" shapeId="0" xr:uid="{F36D95EF-70A8-6B4E-9C32-F9876415F1F8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certain cells seem to be missing data. For some SDs, total REAL FI enrolment should be higher. So take the % changes in FI enrolment with a grain of salt: % could be higher or lower than reality</t>
        </r>
      </text>
    </comment>
    <comment ref="Y3" authorId="0" shapeId="0" xr:uid="{0294996E-2351-964B-9570-4F77D97E9705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some averages are missing data for 1 year. So some are averages of 4 cohorts</t>
        </r>
      </text>
    </comment>
    <comment ref="AA3" authorId="0" shapeId="0" xr:uid="{3401E3FB-2D71-BB49-8838-263C4EB8FA19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some averages are missing data for 1 year. So some are averages of 4 cohorts</t>
        </r>
      </text>
    </comment>
    <comment ref="Y5" authorId="0" shapeId="0" xr:uid="{842DA468-3861-4041-A85F-BCE6D3188C55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Gr 4 entry year</t>
        </r>
      </text>
    </comment>
    <comment ref="Q29" authorId="0" shapeId="0" xr:uid="{15C147BA-E848-1B43-B873-3FF5AF1DEECE}">
      <text>
        <r>
          <rPr>
            <b/>
            <sz val="10"/>
            <color rgb="FF000000"/>
            <rFont val="Calibri"/>
            <family val="2"/>
          </rPr>
          <t>The % of students in FI is low because the program only began in 2010.</t>
        </r>
      </text>
    </comment>
    <comment ref="E32" authorId="0" shapeId="0" xr:uid="{464C4B1D-710F-4240-B3F9-E590CF81CC51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Recently started EFI
</t>
        </r>
      </text>
    </comment>
    <comment ref="I58" authorId="0" shapeId="0" xr:uid="{40FF0FF3-F8C9-B344-A15C-2F9B660A86F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had LFI for a while, but only started ELI in 2003/04</t>
        </r>
      </text>
    </comment>
    <comment ref="X58" authorId="0" shapeId="0" xr:uid="{5C029CB8-71E1-FB41-ACBE-58434256F14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this cohort gained 5 students between grades 1 and 2. Cancelled out attrition</t>
        </r>
      </text>
    </comment>
    <comment ref="Y58" authorId="0" shapeId="0" xr:uid="{21BC4F4D-C16F-F743-8B11-78F30A55158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partly because of low attrition, partly because of student gain in random grades...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Y3" authorId="0" shapeId="0" xr:uid="{BBECD64F-4C8B-4214-9027-23F1DD4903DD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some averages are missing data for 1 year. So some are averages of 4 cohorts</t>
        </r>
      </text>
    </comment>
    <comment ref="AA3" authorId="0" shapeId="0" xr:uid="{DEB98B54-BC3A-4E3B-AFF7-919E35648E35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some averages are missing data for 1 year. So some are averages of 4 cohorts</t>
        </r>
      </text>
    </comment>
    <comment ref="Y5" authorId="0" shapeId="0" xr:uid="{3F8B1336-4E59-43E7-B176-FAB098D11474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Gr 4 entry year</t>
        </r>
      </text>
    </comment>
    <comment ref="Q29" authorId="0" shapeId="0" xr:uid="{BE1AAA69-8CAE-4889-9555-7862F24742AF}">
      <text>
        <r>
          <rPr>
            <b/>
            <sz val="10"/>
            <color rgb="FF000000"/>
            <rFont val="Calibri"/>
            <family val="2"/>
          </rPr>
          <t>The % of students in FI is low because the program only began in 2010.</t>
        </r>
      </text>
    </comment>
    <comment ref="E32" authorId="0" shapeId="0" xr:uid="{36A8126D-0668-4947-8403-188F8525B6DE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Recently started EFI
</t>
        </r>
      </text>
    </comment>
    <comment ref="I58" authorId="0" shapeId="0" xr:uid="{8FC0C9F3-FC2B-4798-B16C-5FD66AD75AE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had LFI for a while, but only started ELI in 2003/04</t>
        </r>
      </text>
    </comment>
    <comment ref="X58" authorId="0" shapeId="0" xr:uid="{1B381C00-3119-4212-B15C-0465610C4AB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this cohort gained 5 students between grades 1 and 2. Cancelled out attrition</t>
        </r>
      </text>
    </comment>
    <comment ref="Y58" authorId="0" shapeId="0" xr:uid="{A19B05B5-8C54-4B43-A65A-45628FCB0A6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partly because of low attrition, partly because of student gain in random grades...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3" authorId="0" shapeId="0" xr:uid="{59D35EDD-DAD3-408A-8A12-531F603E0E6D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certain cells seem to be missing data. For some SDs, total REAL FI enrolment should be higher. So take the % changes in FI enrolment with a grain of salt: % could be higher or lower than reality</t>
        </r>
      </text>
    </comment>
    <comment ref="Y3" authorId="0" shapeId="0" xr:uid="{87845E6D-F5D7-402F-AA7C-8998D2A2C611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some averages are missing data for 1 year. So some are 
averages of 4 cohorts</t>
        </r>
      </text>
    </comment>
    <comment ref="AA3" authorId="0" shapeId="0" xr:uid="{48FDAA01-DFC2-4D66-B41D-40EED4D68241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some averages are missing data for 1 year. So some are averages of 4 cohorts</t>
        </r>
      </text>
    </comment>
    <comment ref="Y4" authorId="0" shapeId="0" xr:uid="{BDB79AE4-7DEE-44AF-A372-781C36268426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Gr 4 entry year</t>
        </r>
      </text>
    </comment>
    <comment ref="Q28" authorId="0" shapeId="0" xr:uid="{8E4961F4-56DC-439F-8C9E-FEA9766BE17D}">
      <text>
        <r>
          <rPr>
            <b/>
            <sz val="10"/>
            <color rgb="FF000000"/>
            <rFont val="Calibri"/>
            <family val="2"/>
          </rPr>
          <t>The % of students in FI is low because the program only began in 2010.</t>
        </r>
      </text>
    </comment>
    <comment ref="E31" authorId="0" shapeId="0" xr:uid="{7DF702A6-795C-4697-82A9-B86A94379321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Recently started EFI
</t>
        </r>
      </text>
    </comment>
    <comment ref="I57" authorId="0" shapeId="0" xr:uid="{6EA32E80-9C7A-42FB-B613-27F7FD07DAC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had LFI for a while, but only started ELI in 2003/04</t>
        </r>
      </text>
    </comment>
    <comment ref="X57" authorId="0" shapeId="0" xr:uid="{22914657-A323-444F-A047-98CA2C8DC57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this cohort gained 5 students between grades 1 and 2. Cancelled out attrition</t>
        </r>
      </text>
    </comment>
    <comment ref="Y57" authorId="0" shapeId="0" xr:uid="{D67A41D2-0B67-4976-821E-19DA6D29618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partly because of low attrition, partly because of student gain in random grades...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3" authorId="0" shapeId="0" xr:uid="{09042D43-7FB3-7F46-B5EA-F743CFDA26F9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certain cells seem to be missing data. For some SDs, total REAL FI enrolment should be higher. So take the % changes in FI enrolment with a grain of salt: % could be higher or lower than reality</t>
        </r>
      </text>
    </comment>
    <comment ref="Y3" authorId="0" shapeId="0" xr:uid="{273F40B7-FC6F-7E48-9218-EFD46E2D5EEF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some averages are missing data for 1 year. So some are 
averages of 4 cohorts</t>
        </r>
      </text>
    </comment>
    <comment ref="AA3" authorId="0" shapeId="0" xr:uid="{C4EC607C-8025-1D44-9C04-2571CD254A29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some averages are missing data for 1 year. So some are averages of 4 cohorts</t>
        </r>
      </text>
    </comment>
    <comment ref="Y4" authorId="0" shapeId="0" xr:uid="{6453D48B-084F-734F-80F3-B1B068D40B42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Gr 4 entry year</t>
        </r>
      </text>
    </comment>
    <comment ref="Q28" authorId="0" shapeId="0" xr:uid="{556B491D-7BF1-D949-8D4D-9BEAB5669A73}">
      <text>
        <r>
          <rPr>
            <b/>
            <sz val="10"/>
            <color rgb="FF000000"/>
            <rFont val="Calibri"/>
            <family val="2"/>
          </rPr>
          <t>The % of students in FI is low because the program only began in 2010.</t>
        </r>
      </text>
    </comment>
    <comment ref="B31" authorId="0" shapeId="0" xr:uid="{86ECB8F8-D502-2D44-9835-BF3EE409F6CC}">
      <text>
        <r>
          <rPr>
            <b/>
            <sz val="10"/>
            <color rgb="FF000000"/>
            <rFont val="Tahoma"/>
            <family val="2"/>
          </rPr>
          <t>Author:</t>
        </r>
        <r>
          <rPr>
            <sz val="10"/>
            <color rgb="FF000000"/>
            <rFont val="Tahoma"/>
            <family val="2"/>
          </rPr>
          <t xml:space="preserve">
Haida Gwaii has removed their french immersion program in 2021/22</t>
        </r>
      </text>
    </comment>
    <comment ref="E31" authorId="0" shapeId="0" xr:uid="{ECD8A71F-8EAB-9742-82A0-BDCDDE2F5F1B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Recently started EFI
</t>
        </r>
      </text>
    </comment>
    <comment ref="I57" authorId="0" shapeId="0" xr:uid="{526C1B01-0920-F841-AE9B-4BB6C44C400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had LFI for a while, but only started ELI in 2003/04</t>
        </r>
      </text>
    </comment>
    <comment ref="X57" authorId="0" shapeId="0" xr:uid="{10E6E437-2A72-4046-AF95-67BE5AD5B7B9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this cohort gained 5 students between grades 1 and 2. Cancelled out attrition</t>
        </r>
      </text>
    </comment>
    <comment ref="Y57" authorId="0" shapeId="0" xr:uid="{562F89C3-F0D1-4244-97A4-1750AC7A9A0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partly because of low attrition, partly because of student gain in random grades...</t>
        </r>
      </text>
    </comment>
  </commentList>
</comments>
</file>

<file path=xl/sharedStrings.xml><?xml version="1.0" encoding="utf-8"?>
<sst xmlns="http://schemas.openxmlformats.org/spreadsheetml/2006/main" count="913" uniqueCount="159">
  <si>
    <t>% Change in FI enrolment cf. last year</t>
  </si>
  <si>
    <t>% of students in FI</t>
  </si>
  <si>
    <t>Legend</t>
  </si>
  <si>
    <t xml:space="preserve">Arrow Lakes                             </t>
  </si>
  <si>
    <t xml:space="preserve">Revelstoke                              </t>
  </si>
  <si>
    <t xml:space="preserve">Boundary                                </t>
  </si>
  <si>
    <t xml:space="preserve">Okanagan Similkameen                    </t>
  </si>
  <si>
    <t xml:space="preserve">Fort Nelson                             </t>
  </si>
  <si>
    <t xml:space="preserve">Stikine                                 </t>
  </si>
  <si>
    <t xml:space="preserve">Fraser-Cascade                          </t>
  </si>
  <si>
    <t xml:space="preserve">Sunshine Coast                          </t>
  </si>
  <si>
    <t xml:space="preserve">Vancouver Island West                   </t>
  </si>
  <si>
    <t xml:space="preserve">Vancouver Island North                  </t>
  </si>
  <si>
    <t xml:space="preserve">Central Coast                           </t>
  </si>
  <si>
    <t xml:space="preserve">Nisga'a                                 </t>
  </si>
  <si>
    <t xml:space="preserve">Gold Trail                              </t>
  </si>
  <si>
    <t>District Number</t>
  </si>
  <si>
    <t>District Name</t>
  </si>
  <si>
    <t>Total FI enrolment</t>
  </si>
  <si>
    <t>% Change in FI enrolment cf. 5 years ago</t>
  </si>
  <si>
    <t>% Change in FI enrolment cf. 10 years ago</t>
  </si>
  <si>
    <t>Total district enrolment</t>
  </si>
  <si>
    <t>% Change in total enrolment cf. last year</t>
  </si>
  <si>
    <t>% Change in total enrolment cf. 5 years ago</t>
  </si>
  <si>
    <t>% Change in total enrolment cf. 10 years ago</t>
  </si>
  <si>
    <t>Percentage-point Change in % of students in FI cf. last year</t>
  </si>
  <si>
    <t>Percentage-point Change in % of students in FI cf. 5 years ago</t>
  </si>
  <si>
    <t>Percentage-point Change in % of students in FI cf. 10 years ago</t>
  </si>
  <si>
    <t>Gr 1-5 attrition %</t>
  </si>
  <si>
    <t>Average Gr 1-5 attrition % for 5 most recent cohorts</t>
  </si>
  <si>
    <t xml:space="preserve">Gr 7-12 attrition % </t>
  </si>
  <si>
    <t>Average Gr 7-12 attrition % for 5 most recent cohorts</t>
  </si>
  <si>
    <t>BC</t>
  </si>
  <si>
    <t>Southeast Kootenay</t>
  </si>
  <si>
    <t xml:space="preserve">Rocky Mountain </t>
  </si>
  <si>
    <t xml:space="preserve">Kootenay Lake </t>
  </si>
  <si>
    <t>Kootenay-Columbia</t>
  </si>
  <si>
    <t>Vernon</t>
  </si>
  <si>
    <t>Central Okanagan</t>
  </si>
  <si>
    <t>Cariboo-Chilcotin</t>
  </si>
  <si>
    <t>Quesnel</t>
  </si>
  <si>
    <t>Chilliwack</t>
  </si>
  <si>
    <t>Abbotsford</t>
  </si>
  <si>
    <t>Langley</t>
  </si>
  <si>
    <t>Surrey</t>
  </si>
  <si>
    <t>Delta</t>
  </si>
  <si>
    <t>Richmond</t>
  </si>
  <si>
    <t>Vancouver</t>
  </si>
  <si>
    <t>New Westminster</t>
  </si>
  <si>
    <t>Burnaby</t>
  </si>
  <si>
    <t>Maple Ridge-Pitt Meadows</t>
  </si>
  <si>
    <t>Coquitlam</t>
  </si>
  <si>
    <t xml:space="preserve">North Vancouver </t>
  </si>
  <si>
    <t>West Vancouver</t>
  </si>
  <si>
    <t>Powell River</t>
  </si>
  <si>
    <t>Sea to Sky</t>
  </si>
  <si>
    <t>Haida Gwaii</t>
  </si>
  <si>
    <t>Prince Rupert</t>
  </si>
  <si>
    <t>Bulkley Valley</t>
  </si>
  <si>
    <t>Prince George</t>
  </si>
  <si>
    <t>Nicola-Similkameen</t>
  </si>
  <si>
    <t>Peace River South</t>
  </si>
  <si>
    <t>Peace River North</t>
  </si>
  <si>
    <t>Greater Victoria</t>
  </si>
  <si>
    <t>Sooke</t>
  </si>
  <si>
    <t>Saanich</t>
  </si>
  <si>
    <t>Gulf Islands</t>
  </si>
  <si>
    <t>Okanagan Skaha</t>
  </si>
  <si>
    <t>Nanaimo-Ladysmith</t>
  </si>
  <si>
    <t>Qualicum</t>
  </si>
  <si>
    <t>Alberni</t>
  </si>
  <si>
    <t>Comox Valley</t>
  </si>
  <si>
    <t>Campbell River</t>
  </si>
  <si>
    <t>Kamloops/Thompson</t>
  </si>
  <si>
    <t xml:space="preserve">Mission </t>
  </si>
  <si>
    <t>Cowichan Valley</t>
  </si>
  <si>
    <t xml:space="preserve">Coast Mountains </t>
  </si>
  <si>
    <t>North Okanagan-Shuswap</t>
  </si>
  <si>
    <t>Nechako Lake</t>
  </si>
  <si>
    <t>"Good"</t>
  </si>
  <si>
    <t>"Bad"</t>
  </si>
  <si>
    <t>"-" or space : No data for the the specified grades</t>
  </si>
  <si>
    <t>Total FI enrolment in 2013/14</t>
  </si>
  <si>
    <t xml:space="preserve">Table 3. French Immersion Enrolment and Attrition by School District for 2014/2015 </t>
  </si>
  <si>
    <t>Total FI Enrolment 5 years ago (2009/10)</t>
  </si>
  <si>
    <t>Masked</t>
  </si>
  <si>
    <t>Total FI Enrolment 10 years ago (2004/05)</t>
  </si>
  <si>
    <t>Total district enrolment (2013/14)</t>
  </si>
  <si>
    <t>Total district enrolment 5 years ago (2009/10)</t>
  </si>
  <si>
    <t>Total district enrolment 10 years ago (2004/05)</t>
  </si>
  <si>
    <t>% of students in FI last year</t>
  </si>
  <si>
    <t>% of students in FI 5 years ago</t>
  </si>
  <si>
    <t>% of students in FI 10 years ago</t>
  </si>
  <si>
    <t xml:space="preserve">Table 3. French Immersion Enrolment and Attrition by School District for 2015/2016 </t>
  </si>
  <si>
    <t xml:space="preserve">Table 3. French Immersion Enrolment and Attrition by School District for 2016/2017 </t>
  </si>
  <si>
    <t>53,206</t>
  </si>
  <si>
    <t>Total FI Enrolment 5 years ago (2010/11)</t>
  </si>
  <si>
    <t>Total FI Enrolment 10 years ago (2005/06)</t>
  </si>
  <si>
    <t>Total district enrolment (2014/15)</t>
  </si>
  <si>
    <t>Total district enrolment 5 years ago (2010/11)</t>
  </si>
  <si>
    <t>Total district enrolment 10 years ago (2005/06)</t>
  </si>
  <si>
    <t>Total FI enrolment in 2014/15</t>
  </si>
  <si>
    <t>Total FI enrolment in 2015/16</t>
  </si>
  <si>
    <t>Total FI Enrolment 5 years ago (2011/12)</t>
  </si>
  <si>
    <t>Total FI Enrolment 10 years ago (2006/07)</t>
  </si>
  <si>
    <t>Total district enrolment (2015/16)</t>
  </si>
  <si>
    <t>Total district enrolment 5 years ago (2011/12)</t>
  </si>
  <si>
    <t>Total district enrolment 10 years ago (2006/07)</t>
  </si>
  <si>
    <t>5,474</t>
  </si>
  <si>
    <t>Note: French program was removed, hence decreasing FI enrolment</t>
  </si>
  <si>
    <t>-</t>
  </si>
  <si>
    <t xml:space="preserve">Table 3. French Immersion Enrolment and Attrition by School District for 2017/2018 </t>
  </si>
  <si>
    <t>Total FI enrolment in 2016/17</t>
  </si>
  <si>
    <t>Total FI Enrolment 5 years ago (2012/13)</t>
  </si>
  <si>
    <t>Total FI Enrolment 10 years ago (2007/08)</t>
  </si>
  <si>
    <t>Total district enrolment 5 years ago (2012/13)</t>
  </si>
  <si>
    <t>Total district enrolment 10 years ago (2007/08)</t>
  </si>
  <si>
    <t>Total district enrolment (2016/17)</t>
  </si>
  <si>
    <t>only 1/5 data points available - not calculated</t>
  </si>
  <si>
    <t>Table 3. French Immersion Enrolment and Attrition by School District for 2018/2019</t>
  </si>
  <si>
    <t>Total FI enrolment in 2017/18</t>
  </si>
  <si>
    <t>Total FI Enrolment 5 years ago (2013/14)</t>
  </si>
  <si>
    <t>Total FI Enrolment 10 years ago (2008/09)</t>
  </si>
  <si>
    <t>Total district enrolment (2017/18)</t>
  </si>
  <si>
    <t>Total district enrolment 5 years ago (2013/14)</t>
  </si>
  <si>
    <t>Total district enrolment 10 years ago (2008/09)</t>
  </si>
  <si>
    <t>Table 3. French Immersion Enrolment and Attrition by School District for 2019/2020</t>
  </si>
  <si>
    <t>Total FI enrolment in 2018/19</t>
  </si>
  <si>
    <t>Total FI Enrolment 5 years ago (2014/15)</t>
  </si>
  <si>
    <t>Total FI Enrolment 10 years ago (2009/10)</t>
  </si>
  <si>
    <t>Total district enrolment (2018/19)</t>
  </si>
  <si>
    <t>Total district enrolment 5 years ago (2014/15)</t>
  </si>
  <si>
    <t>Total district enrolment 10 years ago (2009/10)</t>
  </si>
  <si>
    <t xml:space="preserve">Table 3. French Immersion Enrolment and Attrition by School District for 2013/2014 </t>
  </si>
  <si>
    <t>Total FI enrolment in 2012/13</t>
  </si>
  <si>
    <t>Total district enrolment in 2012/13</t>
  </si>
  <si>
    <t>% of students in FI in 2004/05</t>
  </si>
  <si>
    <t>no FI</t>
  </si>
  <si>
    <t>?</t>
  </si>
  <si>
    <t>Table 3. French Immersion Enrolment and Attrition by School District for 2020/2021</t>
  </si>
  <si>
    <t>Total FI enrolment in 2019/20</t>
  </si>
  <si>
    <t>Total FI Enrolment 5 years ago (2015/16)</t>
  </si>
  <si>
    <t>Total FI Enrolment 10 years ago (2010/11)</t>
  </si>
  <si>
    <t>Total district enrolment (2019/20)</t>
  </si>
  <si>
    <t>Total district enrolment 5 years ago (2015/16)</t>
  </si>
  <si>
    <t>Total district enrolment 10 years ago (2010/11)</t>
  </si>
  <si>
    <t>Notes:</t>
  </si>
  <si>
    <t>the SDs without FI are all among the smallest. Around 3000 or less total enrolment. -&gt; ie not a big deal that we don't have FI there</t>
  </si>
  <si>
    <t>Kamloops/Thompson and North Okanagan-Shuswap are doing something right - among 5 lowest attrition rates for both FI groups for past 5 cohorts</t>
  </si>
  <si>
    <t xml:space="preserve">There's something seriously wrong at Peace River North - among 5 highest attrition rates for both FI groups for past 5 cohorts AND last cohort </t>
  </si>
  <si>
    <t>Although these comparisons aren't fair since some SDs don't have both programs, and I should look at degree of attrition - point out top attrition instead?</t>
  </si>
  <si>
    <t>Total FI enrolment in 2020/21</t>
  </si>
  <si>
    <t>Total FI Enrolment 5 years ago (2016/17)</t>
  </si>
  <si>
    <t>Total FI Enrolment 10 years ago (2011/12)</t>
  </si>
  <si>
    <t>Total district enrolment 10 years ago (2011/12)</t>
  </si>
  <si>
    <t>Total district enrolment 5 years ago (2016/17)</t>
  </si>
  <si>
    <t>Total district enrolment (2020/21)</t>
  </si>
  <si>
    <t xml:space="preserve"> </t>
  </si>
  <si>
    <t>Table 3. French Immersion Enrolment and Attrition by School District for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</si>
</sst>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_-* #,##0.00\ _€_-;\-* #,##0.00\ _€_-;_-* &quot;-&quot;??\ _€_-;_-@_-"/>
    <numFmt numFmtId="166" formatCode="_(* #,##0_);_(* \(#,##0\);_(* &quot;-&quot;??_);_(@_)"/>
    <numFmt numFmtId="167" formatCode="_-* #,##0_-;\-* #,##0_-;_-* &quot;-&quot;??_-;_-@_-"/>
    <numFmt numFmtId="168" formatCode="_-* #,##0\ _€_-;\-* #,##0\ _€_-;_-* &quot;-&quot;??\ _€_-;_-@_-"/>
  </numFmts>
  <fonts count="4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FFFFFF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indexed="81"/>
      <name val="Calibri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9"/>
      <color theme="1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0"/>
      <color rgb="FF000000"/>
      <name val="Calibri"/>
      <family val="2"/>
    </font>
    <font>
      <sz val="9"/>
      <color indexed="8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38">
    <fill>
      <patternFill patternType="none"/>
    </fill>
    <fill>
      <patternFill patternType="gray125"/>
    </fill>
    <fill>
      <patternFill patternType="solid">
        <fgColor rgb="FF4BACC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/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/>
      <right/>
      <top style="medium">
        <color rgb="FF4BACC6"/>
      </top>
      <bottom style="medium">
        <color rgb="FF4BACC6"/>
      </bottom>
      <diagonal/>
    </border>
    <border>
      <left style="medium">
        <color rgb="FF4BACC6"/>
      </left>
      <right/>
      <top style="medium">
        <color rgb="FF4BACC6"/>
      </top>
      <bottom style="medium">
        <color rgb="FF4BACC6"/>
      </bottom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4BACC6"/>
      </top>
      <bottom/>
      <diagonal/>
    </border>
    <border>
      <left/>
      <right/>
      <top style="thin">
        <color rgb="FF4BACC6"/>
      </top>
      <bottom style="thin">
        <color rgb="FF4BACC6"/>
      </bottom>
      <diagonal/>
    </border>
    <border>
      <left/>
      <right/>
      <top style="medium">
        <color rgb="FF4BACC6"/>
      </top>
      <bottom/>
      <diagonal/>
    </border>
    <border>
      <left style="medium">
        <color rgb="FF4BACC6"/>
      </left>
      <right/>
      <top style="medium">
        <color rgb="FF4BACC6"/>
      </top>
      <bottom/>
      <diagonal/>
    </border>
    <border>
      <left/>
      <right style="medium">
        <color rgb="FF4BACC6"/>
      </right>
      <top style="medium">
        <color rgb="FF4BACC6"/>
      </top>
      <bottom/>
      <diagonal/>
    </border>
    <border>
      <left/>
      <right/>
      <top/>
      <bottom style="thin">
        <color rgb="FF4BACC6"/>
      </bottom>
      <diagonal/>
    </border>
    <border>
      <left/>
      <right style="thin">
        <color rgb="FF4BACC6"/>
      </right>
      <top style="medium">
        <color rgb="FF4BACC6"/>
      </top>
      <bottom style="thin">
        <color rgb="FF4BACC6"/>
      </bottom>
      <diagonal/>
    </border>
    <border>
      <left/>
      <right style="medium">
        <color rgb="FF4BACC6"/>
      </right>
      <top style="thin">
        <color rgb="FF4BACC6"/>
      </top>
      <bottom style="thin">
        <color rgb="FF4BACC6"/>
      </bottom>
      <diagonal/>
    </border>
    <border>
      <left/>
      <right style="medium">
        <color rgb="FF4BACC6"/>
      </right>
      <top style="thin">
        <color rgb="FF4BACC6"/>
      </top>
      <bottom/>
      <diagonal/>
    </border>
    <border>
      <left style="thin">
        <color theme="0" tint="-0.249977111117893"/>
      </left>
      <right/>
      <top style="medium">
        <color rgb="FF4BACC6"/>
      </top>
      <bottom style="medium">
        <color rgb="FF4BACC6"/>
      </bottom>
      <diagonal/>
    </border>
    <border>
      <left style="thin">
        <color theme="0" tint="-0.249977111117893"/>
      </left>
      <right/>
      <top style="medium">
        <color rgb="FF4BACC6"/>
      </top>
      <bottom style="medium">
        <color theme="8"/>
      </bottom>
      <diagonal/>
    </border>
    <border>
      <left/>
      <right/>
      <top/>
      <bottom style="medium">
        <color rgb="FF4BACC6"/>
      </bottom>
      <diagonal/>
    </border>
    <border>
      <left/>
      <right/>
      <top style="medium">
        <color rgb="FF4BACC6"/>
      </top>
      <bottom style="medium">
        <color theme="8"/>
      </bottom>
      <diagonal/>
    </border>
    <border>
      <left/>
      <right style="medium">
        <color rgb="FF4BACC6"/>
      </right>
      <top style="medium">
        <color rgb="FF4BACC6"/>
      </top>
      <bottom style="medium">
        <color theme="8"/>
      </bottom>
      <diagonal/>
    </border>
    <border>
      <left/>
      <right/>
      <top/>
      <bottom style="medium">
        <color theme="8"/>
      </bottom>
      <diagonal/>
    </border>
    <border>
      <left/>
      <right style="medium">
        <color rgb="FF4BACC6"/>
      </right>
      <top/>
      <bottom style="medium">
        <color rgb="FF4BACC6"/>
      </bottom>
      <diagonal/>
    </border>
    <border>
      <left style="medium">
        <color theme="8"/>
      </left>
      <right/>
      <top style="medium">
        <color theme="8"/>
      </top>
      <bottom style="medium">
        <color rgb="FF4BACC6"/>
      </bottom>
      <diagonal/>
    </border>
    <border>
      <left/>
      <right/>
      <top style="medium">
        <color theme="8"/>
      </top>
      <bottom style="medium">
        <color rgb="FF4BACC6"/>
      </bottom>
      <diagonal/>
    </border>
    <border>
      <left/>
      <right style="medium">
        <color rgb="FF4BACC6"/>
      </right>
      <top style="medium">
        <color theme="8"/>
      </top>
      <bottom style="medium">
        <color rgb="FF4BACC6"/>
      </bottom>
      <diagonal/>
    </border>
    <border>
      <left/>
      <right style="medium">
        <color theme="8"/>
      </right>
      <top style="medium">
        <color theme="8"/>
      </top>
      <bottom/>
      <diagonal/>
    </border>
    <border>
      <left style="medium">
        <color theme="8"/>
      </left>
      <right/>
      <top style="medium">
        <color rgb="FF4BACC6"/>
      </top>
      <bottom style="medium">
        <color rgb="FF4BACC6"/>
      </bottom>
      <diagonal/>
    </border>
    <border>
      <left/>
      <right style="medium">
        <color theme="8"/>
      </right>
      <top/>
      <bottom/>
      <diagonal/>
    </border>
    <border>
      <left style="medium">
        <color theme="8"/>
      </left>
      <right/>
      <top style="medium">
        <color rgb="FF4BACC6"/>
      </top>
      <bottom style="medium">
        <color theme="8"/>
      </bottom>
      <diagonal/>
    </border>
    <border>
      <left/>
      <right style="medium">
        <color theme="8"/>
      </right>
      <top/>
      <bottom style="medium">
        <color theme="8"/>
      </bottom>
      <diagonal/>
    </border>
  </borders>
  <cellStyleXfs count="547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9" borderId="8" applyNumberFormat="0" applyAlignment="0" applyProtection="0"/>
    <xf numFmtId="0" fontId="27" fillId="10" borderId="9" applyNumberFormat="0" applyAlignment="0" applyProtection="0"/>
    <xf numFmtId="0" fontId="28" fillId="10" borderId="8" applyNumberFormat="0" applyAlignment="0" applyProtection="0"/>
    <xf numFmtId="0" fontId="29" fillId="0" borderId="10" applyNumberFormat="0" applyFill="0" applyAlignment="0" applyProtection="0"/>
    <xf numFmtId="0" fontId="30" fillId="11" borderId="11" applyNumberFormat="0" applyAlignment="0" applyProtection="0"/>
    <xf numFmtId="0" fontId="31" fillId="0" borderId="0" applyNumberFormat="0" applyFill="0" applyBorder="0" applyAlignment="0" applyProtection="0"/>
    <xf numFmtId="0" fontId="4" fillId="12" borderId="12" applyNumberFormat="0" applyFont="0" applyAlignment="0" applyProtection="0"/>
    <xf numFmtId="0" fontId="32" fillId="0" borderId="0" applyNumberFormat="0" applyFill="0" applyBorder="0" applyAlignment="0" applyProtection="0"/>
    <xf numFmtId="0" fontId="14" fillId="0" borderId="13" applyNumberFormat="0" applyFill="0" applyAlignment="0" applyProtection="0"/>
    <xf numFmtId="0" fontId="3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3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3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3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3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3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164" fontId="4" fillId="0" borderId="0" applyFont="0" applyFill="0" applyBorder="0" applyAlignment="0" applyProtection="0"/>
    <xf numFmtId="0" fontId="34" fillId="0" borderId="0"/>
    <xf numFmtId="164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3" fillId="16" borderId="0" applyNumberFormat="0" applyBorder="0" applyAlignment="0" applyProtection="0"/>
    <xf numFmtId="0" fontId="33" fillId="20" borderId="0" applyNumberFormat="0" applyBorder="0" applyAlignment="0" applyProtection="0"/>
    <xf numFmtId="0" fontId="33" fillId="24" borderId="0" applyNumberFormat="0" applyBorder="0" applyAlignment="0" applyProtection="0"/>
    <xf numFmtId="0" fontId="33" fillId="28" borderId="0" applyNumberFormat="0" applyBorder="0" applyAlignment="0" applyProtection="0"/>
    <xf numFmtId="0" fontId="33" fillId="32" borderId="0" applyNumberFormat="0" applyBorder="0" applyAlignment="0" applyProtection="0"/>
    <xf numFmtId="0" fontId="33" fillId="36" borderId="0" applyNumberFormat="0" applyBorder="0" applyAlignment="0" applyProtection="0"/>
  </cellStyleXfs>
  <cellXfs count="360">
    <xf numFmtId="0" fontId="0" fillId="0" borderId="0" xfId="0"/>
    <xf numFmtId="0" fontId="10" fillId="0" borderId="0" xfId="0" applyFont="1"/>
    <xf numFmtId="0" fontId="7" fillId="2" borderId="3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/>
    </xf>
    <xf numFmtId="3" fontId="9" fillId="0" borderId="2" xfId="0" applyNumberFormat="1" applyFont="1" applyFill="1" applyBorder="1" applyAlignment="1">
      <alignment vertical="center" wrapText="1"/>
    </xf>
    <xf numFmtId="10" fontId="9" fillId="0" borderId="2" xfId="0" applyNumberFormat="1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0" fillId="4" borderId="0" xfId="0" applyFill="1"/>
    <xf numFmtId="0" fontId="0" fillId="5" borderId="0" xfId="0" applyFill="1"/>
    <xf numFmtId="3" fontId="6" fillId="0" borderId="2" xfId="0" applyNumberFormat="1" applyFont="1" applyFill="1" applyBorder="1" applyAlignment="1">
      <alignment horizontal="right" vertical="center" wrapText="1"/>
    </xf>
    <xf numFmtId="166" fontId="6" fillId="0" borderId="2" xfId="1" applyNumberFormat="1" applyFont="1" applyFill="1" applyBorder="1" applyAlignment="1">
      <alignment horizontal="right" vertical="center" wrapText="1"/>
    </xf>
    <xf numFmtId="10" fontId="6" fillId="0" borderId="2" xfId="2" applyNumberFormat="1" applyFont="1" applyFill="1" applyBorder="1" applyAlignment="1">
      <alignment horizontal="right" vertical="center" wrapText="1"/>
    </xf>
    <xf numFmtId="10" fontId="9" fillId="0" borderId="1" xfId="0" applyNumberFormat="1" applyFont="1" applyFill="1" applyBorder="1" applyAlignment="1">
      <alignment vertical="center" wrapText="1"/>
    </xf>
    <xf numFmtId="0" fontId="14" fillId="0" borderId="0" xfId="0" applyFont="1"/>
    <xf numFmtId="3" fontId="6" fillId="3" borderId="2" xfId="0" applyNumberFormat="1" applyFont="1" applyFill="1" applyBorder="1" applyAlignment="1">
      <alignment vertical="center"/>
    </xf>
    <xf numFmtId="3" fontId="6" fillId="3" borderId="2" xfId="0" applyNumberFormat="1" applyFont="1" applyFill="1" applyBorder="1" applyAlignment="1">
      <alignment horizontal="right" vertical="center"/>
    </xf>
    <xf numFmtId="10" fontId="6" fillId="0" borderId="1" xfId="0" applyNumberFormat="1" applyFont="1" applyFill="1" applyBorder="1" applyAlignment="1">
      <alignment vertical="center"/>
    </xf>
    <xf numFmtId="10" fontId="9" fillId="0" borderId="2" xfId="0" applyNumberFormat="1" applyFont="1" applyFill="1" applyBorder="1" applyAlignment="1">
      <alignment horizontal="right" vertical="center" wrapText="1"/>
    </xf>
    <xf numFmtId="3" fontId="6" fillId="0" borderId="2" xfId="0" applyNumberFormat="1" applyFont="1" applyFill="1" applyBorder="1" applyAlignment="1">
      <alignment vertical="center"/>
    </xf>
    <xf numFmtId="10" fontId="6" fillId="0" borderId="2" xfId="0" applyNumberFormat="1" applyFont="1" applyFill="1" applyBorder="1" applyAlignment="1">
      <alignment vertical="center"/>
    </xf>
    <xf numFmtId="10" fontId="6" fillId="0" borderId="2" xfId="2" applyNumberFormat="1" applyFont="1" applyFill="1" applyBorder="1" applyAlignment="1">
      <alignment vertical="center"/>
    </xf>
    <xf numFmtId="166" fontId="6" fillId="0" borderId="2" xfId="1" applyNumberFormat="1" applyFont="1" applyFill="1" applyBorder="1" applyAlignment="1">
      <alignment vertical="center"/>
    </xf>
    <xf numFmtId="166" fontId="6" fillId="0" borderId="2" xfId="1" applyNumberFormat="1" applyFont="1" applyFill="1" applyBorder="1" applyAlignment="1">
      <alignment horizontal="right" vertical="center"/>
    </xf>
    <xf numFmtId="3" fontId="17" fillId="0" borderId="2" xfId="0" applyNumberFormat="1" applyFont="1" applyFill="1" applyBorder="1" applyAlignment="1">
      <alignment horizontal="right" vertical="center" wrapText="1"/>
    </xf>
    <xf numFmtId="10" fontId="9" fillId="0" borderId="2" xfId="2" applyNumberFormat="1" applyFont="1" applyFill="1" applyBorder="1" applyAlignment="1">
      <alignment vertical="center"/>
    </xf>
    <xf numFmtId="10" fontId="6" fillId="0" borderId="2" xfId="2" applyNumberFormat="1" applyFont="1" applyFill="1" applyBorder="1" applyAlignment="1">
      <alignment horizontal="right" vertical="center"/>
    </xf>
    <xf numFmtId="10" fontId="6" fillId="0" borderId="1" xfId="0" applyNumberFormat="1" applyFont="1" applyFill="1" applyBorder="1" applyAlignment="1">
      <alignment horizontal="right" vertical="center"/>
    </xf>
    <xf numFmtId="10" fontId="9" fillId="0" borderId="2" xfId="2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2" xfId="0" applyFont="1" applyBorder="1"/>
    <xf numFmtId="3" fontId="6" fillId="0" borderId="2" xfId="0" applyNumberFormat="1" applyFont="1" applyFill="1" applyBorder="1" applyAlignment="1">
      <alignment horizontal="right" vertical="center"/>
    </xf>
    <xf numFmtId="10" fontId="9" fillId="0" borderId="2" xfId="2" applyNumberFormat="1" applyFont="1" applyBorder="1" applyAlignment="1">
      <alignment horizontal="right" vertical="center" wrapText="1"/>
    </xf>
    <xf numFmtId="0" fontId="6" fillId="0" borderId="1" xfId="0" applyFont="1" applyFill="1" applyBorder="1"/>
    <xf numFmtId="10" fontId="6" fillId="0" borderId="2" xfId="0" applyNumberFormat="1" applyFont="1" applyFill="1" applyBorder="1" applyAlignment="1">
      <alignment horizontal="right" vertical="center"/>
    </xf>
    <xf numFmtId="10" fontId="9" fillId="0" borderId="4" xfId="0" applyNumberFormat="1" applyFont="1" applyBorder="1" applyAlignment="1">
      <alignment horizontal="right" vertical="center" wrapText="1"/>
    </xf>
    <xf numFmtId="10" fontId="9" fillId="0" borderId="2" xfId="0" applyNumberFormat="1" applyFont="1" applyFill="1" applyBorder="1" applyAlignment="1">
      <alignment vertical="center"/>
    </xf>
    <xf numFmtId="10" fontId="9" fillId="0" borderId="1" xfId="0" applyNumberFormat="1" applyFont="1" applyFill="1" applyBorder="1" applyAlignment="1">
      <alignment vertical="center"/>
    </xf>
    <xf numFmtId="10" fontId="9" fillId="0" borderId="2" xfId="0" applyNumberFormat="1" applyFont="1" applyBorder="1" applyAlignment="1">
      <alignment horizontal="right" vertical="center" wrapText="1"/>
    </xf>
    <xf numFmtId="10" fontId="9" fillId="3" borderId="2" xfId="2" applyNumberFormat="1" applyFont="1" applyFill="1" applyBorder="1" applyAlignment="1">
      <alignment horizontal="right" vertical="center" wrapText="1"/>
    </xf>
    <xf numFmtId="0" fontId="5" fillId="3" borderId="15" xfId="0" applyFont="1" applyFill="1" applyBorder="1" applyAlignment="1">
      <alignment horizontal="left" vertical="center"/>
    </xf>
    <xf numFmtId="0" fontId="7" fillId="2" borderId="17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8" fillId="3" borderId="15" xfId="0" applyFont="1" applyFill="1" applyBorder="1" applyAlignment="1">
      <alignment vertical="center"/>
    </xf>
    <xf numFmtId="167" fontId="19" fillId="3" borderId="15" xfId="1" quotePrefix="1" applyNumberFormat="1" applyFont="1" applyFill="1" applyBorder="1" applyAlignment="1">
      <alignment horizontal="left" vertical="center" wrapText="1"/>
    </xf>
    <xf numFmtId="167" fontId="18" fillId="3" borderId="15" xfId="1" applyNumberFormat="1" applyFont="1" applyFill="1" applyBorder="1" applyAlignment="1">
      <alignment vertical="center"/>
    </xf>
    <xf numFmtId="10" fontId="9" fillId="3" borderId="15" xfId="0" applyNumberFormat="1" applyFont="1" applyFill="1" applyBorder="1" applyAlignment="1">
      <alignment vertical="center" wrapText="1"/>
    </xf>
    <xf numFmtId="3" fontId="6" fillId="3" borderId="15" xfId="0" applyNumberFormat="1" applyFont="1" applyFill="1" applyBorder="1" applyAlignment="1">
      <alignment vertical="center" wrapText="1"/>
    </xf>
    <xf numFmtId="10" fontId="9" fillId="3" borderId="15" xfId="0" applyNumberFormat="1" applyFont="1" applyFill="1" applyBorder="1" applyAlignment="1">
      <alignment horizontal="right" vertical="center" wrapText="1"/>
    </xf>
    <xf numFmtId="0" fontId="0" fillId="3" borderId="15" xfId="0" applyFill="1" applyBorder="1"/>
    <xf numFmtId="10" fontId="9" fillId="3" borderId="14" xfId="0" applyNumberFormat="1" applyFont="1" applyFill="1" applyBorder="1" applyAlignment="1">
      <alignment vertical="center" wrapText="1"/>
    </xf>
    <xf numFmtId="10" fontId="9" fillId="3" borderId="14" xfId="0" applyNumberFormat="1" applyFont="1" applyFill="1" applyBorder="1" applyAlignment="1">
      <alignment horizontal="right" vertical="center" wrapText="1"/>
    </xf>
    <xf numFmtId="0" fontId="0" fillId="3" borderId="14" xfId="0" applyFill="1" applyBorder="1"/>
    <xf numFmtId="0" fontId="5" fillId="3" borderId="14" xfId="0" applyFont="1" applyFill="1" applyBorder="1" applyAlignment="1">
      <alignment horizontal="left" vertical="center"/>
    </xf>
    <xf numFmtId="0" fontId="18" fillId="3" borderId="14" xfId="0" applyFont="1" applyFill="1" applyBorder="1" applyAlignment="1">
      <alignment horizontal="right" vertical="center"/>
    </xf>
    <xf numFmtId="167" fontId="18" fillId="3" borderId="14" xfId="1" applyNumberFormat="1" applyFont="1" applyFill="1" applyBorder="1" applyAlignment="1">
      <alignment horizontal="right" vertical="center"/>
    </xf>
    <xf numFmtId="3" fontId="6" fillId="3" borderId="14" xfId="0" applyNumberFormat="1" applyFont="1" applyFill="1" applyBorder="1" applyAlignment="1">
      <alignment horizontal="right" vertical="center" wrapText="1"/>
    </xf>
    <xf numFmtId="3" fontId="18" fillId="3" borderId="14" xfId="0" applyNumberFormat="1" applyFont="1" applyFill="1" applyBorder="1" applyAlignment="1">
      <alignment horizontal="right" vertical="center" wrapText="1"/>
    </xf>
    <xf numFmtId="3" fontId="37" fillId="3" borderId="14" xfId="0" applyNumberFormat="1" applyFont="1" applyFill="1" applyBorder="1"/>
    <xf numFmtId="10" fontId="6" fillId="3" borderId="14" xfId="0" applyNumberFormat="1" applyFont="1" applyFill="1" applyBorder="1" applyAlignment="1">
      <alignment vertical="center"/>
    </xf>
    <xf numFmtId="10" fontId="6" fillId="3" borderId="14" xfId="2" applyNumberFormat="1" applyFont="1" applyFill="1" applyBorder="1" applyAlignment="1">
      <alignment horizontal="right" vertical="center" wrapText="1"/>
    </xf>
    <xf numFmtId="10" fontId="6" fillId="3" borderId="14" xfId="2" applyNumberFormat="1" applyFont="1" applyFill="1" applyBorder="1" applyAlignment="1">
      <alignment vertical="center"/>
    </xf>
    <xf numFmtId="3" fontId="20" fillId="3" borderId="14" xfId="0" applyNumberFormat="1" applyFont="1" applyFill="1" applyBorder="1" applyAlignment="1">
      <alignment horizontal="right" vertical="center" wrapText="1"/>
    </xf>
    <xf numFmtId="3" fontId="18" fillId="3" borderId="14" xfId="0" applyNumberFormat="1" applyFont="1" applyFill="1" applyBorder="1" applyAlignment="1">
      <alignment vertical="center" wrapText="1"/>
    </xf>
    <xf numFmtId="3" fontId="20" fillId="3" borderId="14" xfId="0" applyNumberFormat="1" applyFont="1" applyFill="1" applyBorder="1" applyAlignment="1">
      <alignment vertical="center" wrapText="1"/>
    </xf>
    <xf numFmtId="0" fontId="8" fillId="3" borderId="15" xfId="0" applyFont="1" applyFill="1" applyBorder="1" applyAlignment="1">
      <alignment horizontal="left" vertical="center" wrapText="1"/>
    </xf>
    <xf numFmtId="10" fontId="6" fillId="3" borderId="15" xfId="2" applyNumberFormat="1" applyFont="1" applyFill="1" applyBorder="1" applyAlignment="1">
      <alignment horizontal="right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19" fillId="3" borderId="15" xfId="0" applyFont="1" applyFill="1" applyBorder="1" applyAlignment="1">
      <alignment horizontal="right" vertical="center" wrapText="1"/>
    </xf>
    <xf numFmtId="167" fontId="18" fillId="3" borderId="15" xfId="1" applyNumberFormat="1" applyFont="1" applyFill="1" applyBorder="1" applyAlignment="1">
      <alignment horizontal="right" vertical="center"/>
    </xf>
    <xf numFmtId="3" fontId="6" fillId="3" borderId="15" xfId="0" applyNumberFormat="1" applyFont="1" applyFill="1" applyBorder="1" applyAlignment="1">
      <alignment horizontal="right" vertical="center" wrapText="1"/>
    </xf>
    <xf numFmtId="1" fontId="19" fillId="3" borderId="15" xfId="0" quotePrefix="1" applyNumberFormat="1" applyFont="1" applyFill="1" applyBorder="1" applyAlignment="1">
      <alignment horizontal="right" vertical="center"/>
    </xf>
    <xf numFmtId="3" fontId="18" fillId="3" borderId="15" xfId="0" applyNumberFormat="1" applyFont="1" applyFill="1" applyBorder="1" applyAlignment="1">
      <alignment vertical="center"/>
    </xf>
    <xf numFmtId="10" fontId="9" fillId="3" borderId="15" xfId="2" applyNumberFormat="1" applyFont="1" applyFill="1" applyBorder="1" applyAlignment="1">
      <alignment horizontal="right" vertical="center" wrapText="1"/>
    </xf>
    <xf numFmtId="10" fontId="6" fillId="3" borderId="15" xfId="0" applyNumberFormat="1" applyFont="1" applyFill="1" applyBorder="1" applyAlignment="1">
      <alignment vertical="center"/>
    </xf>
    <xf numFmtId="0" fontId="5" fillId="3" borderId="14" xfId="0" applyFont="1" applyFill="1" applyBorder="1" applyAlignment="1">
      <alignment horizontal="left" vertical="center" wrapText="1"/>
    </xf>
    <xf numFmtId="0" fontId="5" fillId="3" borderId="19" xfId="0" applyFont="1" applyFill="1" applyBorder="1" applyAlignment="1">
      <alignment horizontal="left" vertical="center" wrapText="1"/>
    </xf>
    <xf numFmtId="3" fontId="18" fillId="3" borderId="15" xfId="0" applyNumberFormat="1" applyFont="1" applyFill="1" applyBorder="1" applyAlignment="1">
      <alignment horizontal="right" vertical="center" wrapText="1"/>
    </xf>
    <xf numFmtId="10" fontId="6" fillId="3" borderId="15" xfId="2" applyNumberFormat="1" applyFont="1" applyFill="1" applyBorder="1" applyAlignment="1">
      <alignment vertical="center"/>
    </xf>
    <xf numFmtId="0" fontId="6" fillId="3" borderId="15" xfId="0" applyFont="1" applyFill="1" applyBorder="1"/>
    <xf numFmtId="0" fontId="6" fillId="3" borderId="14" xfId="0" applyFont="1" applyFill="1" applyBorder="1"/>
    <xf numFmtId="0" fontId="0" fillId="3" borderId="15" xfId="0" applyFill="1" applyBorder="1" applyAlignment="1">
      <alignment horizontal="right"/>
    </xf>
    <xf numFmtId="3" fontId="20" fillId="3" borderId="15" xfId="0" applyNumberFormat="1" applyFont="1" applyFill="1" applyBorder="1" applyAlignment="1">
      <alignment horizontal="right" vertical="center" wrapText="1"/>
    </xf>
    <xf numFmtId="3" fontId="18" fillId="3" borderId="15" xfId="0" applyNumberFormat="1" applyFont="1" applyFill="1" applyBorder="1" applyAlignment="1">
      <alignment vertical="center" wrapText="1"/>
    </xf>
    <xf numFmtId="3" fontId="20" fillId="3" borderId="15" xfId="0" applyNumberFormat="1" applyFont="1" applyFill="1" applyBorder="1" applyAlignment="1">
      <alignment vertical="center" wrapText="1"/>
    </xf>
    <xf numFmtId="167" fontId="18" fillId="3" borderId="15" xfId="538" applyNumberFormat="1" applyFont="1" applyFill="1" applyBorder="1" applyAlignment="1">
      <alignment vertical="center"/>
    </xf>
    <xf numFmtId="10" fontId="6" fillId="3" borderId="15" xfId="0" applyNumberFormat="1" applyFont="1" applyFill="1" applyBorder="1" applyAlignment="1">
      <alignment horizontal="right" vertical="center"/>
    </xf>
    <xf numFmtId="3" fontId="18" fillId="3" borderId="15" xfId="0" applyNumberFormat="1" applyFont="1" applyFill="1" applyBorder="1" applyAlignment="1">
      <alignment horizontal="right" vertical="center"/>
    </xf>
    <xf numFmtId="167" fontId="18" fillId="3" borderId="15" xfId="538" applyNumberFormat="1" applyFont="1" applyFill="1" applyBorder="1" applyAlignment="1">
      <alignment horizontal="right" vertical="center"/>
    </xf>
    <xf numFmtId="10" fontId="9" fillId="3" borderId="15" xfId="2" applyNumberFormat="1" applyFont="1" applyFill="1" applyBorder="1" applyAlignment="1">
      <alignment vertical="center"/>
    </xf>
    <xf numFmtId="10" fontId="9" fillId="3" borderId="15" xfId="0" applyNumberFormat="1" applyFont="1" applyFill="1" applyBorder="1" applyAlignment="1">
      <alignment vertical="center"/>
    </xf>
    <xf numFmtId="3" fontId="18" fillId="3" borderId="15" xfId="0" applyNumberFormat="1" applyFont="1" applyFill="1" applyBorder="1" applyAlignment="1">
      <alignment wrapText="1"/>
    </xf>
    <xf numFmtId="3" fontId="20" fillId="3" borderId="15" xfId="0" applyNumberFormat="1" applyFont="1" applyFill="1" applyBorder="1" applyAlignment="1">
      <alignment wrapText="1"/>
    </xf>
    <xf numFmtId="0" fontId="14" fillId="3" borderId="15" xfId="0" applyFont="1" applyFill="1" applyBorder="1"/>
    <xf numFmtId="10" fontId="6" fillId="3" borderId="15" xfId="2" applyNumberFormat="1" applyFont="1" applyFill="1" applyBorder="1" applyAlignment="1">
      <alignment horizontal="right" vertical="center"/>
    </xf>
    <xf numFmtId="3" fontId="18" fillId="3" borderId="14" xfId="0" applyNumberFormat="1" applyFont="1" applyFill="1" applyBorder="1" applyAlignment="1">
      <alignment horizontal="right"/>
    </xf>
    <xf numFmtId="10" fontId="6" fillId="3" borderId="14" xfId="2" applyNumberFormat="1" applyFont="1" applyFill="1" applyBorder="1" applyAlignment="1">
      <alignment horizontal="right" vertical="center"/>
    </xf>
    <xf numFmtId="3" fontId="5" fillId="3" borderId="15" xfId="0" applyNumberFormat="1" applyFont="1" applyFill="1" applyBorder="1" applyAlignment="1">
      <alignment vertical="center"/>
    </xf>
    <xf numFmtId="3" fontId="20" fillId="3" borderId="15" xfId="0" applyNumberFormat="1" applyFont="1" applyFill="1" applyBorder="1" applyAlignment="1">
      <alignment horizontal="right" wrapText="1"/>
    </xf>
    <xf numFmtId="3" fontId="18" fillId="3" borderId="15" xfId="0" applyNumberFormat="1" applyFont="1" applyFill="1" applyBorder="1" applyAlignment="1">
      <alignment horizontal="right" wrapText="1"/>
    </xf>
    <xf numFmtId="10" fontId="0" fillId="3" borderId="15" xfId="2" applyNumberFormat="1" applyFont="1" applyFill="1" applyBorder="1"/>
    <xf numFmtId="10" fontId="0" fillId="3" borderId="15" xfId="0" applyNumberFormat="1" applyFill="1" applyBorder="1"/>
    <xf numFmtId="10" fontId="9" fillId="3" borderId="15" xfId="2" applyNumberFormat="1" applyFont="1" applyFill="1" applyBorder="1" applyAlignment="1">
      <alignment horizontal="right" vertical="center"/>
    </xf>
    <xf numFmtId="3" fontId="6" fillId="3" borderId="15" xfId="0" applyNumberFormat="1" applyFont="1" applyFill="1" applyBorder="1" applyAlignment="1">
      <alignment vertical="center"/>
    </xf>
    <xf numFmtId="0" fontId="5" fillId="3" borderId="15" xfId="0" applyFont="1" applyFill="1" applyBorder="1"/>
    <xf numFmtId="3" fontId="6" fillId="3" borderId="14" xfId="0" applyNumberFormat="1" applyFont="1" applyFill="1" applyBorder="1" applyAlignment="1">
      <alignment vertical="center"/>
    </xf>
    <xf numFmtId="2" fontId="18" fillId="3" borderId="15" xfId="1" quotePrefix="1" applyNumberFormat="1" applyFont="1" applyFill="1" applyBorder="1" applyAlignment="1">
      <alignment horizontal="right" vertical="center" wrapText="1"/>
    </xf>
    <xf numFmtId="0" fontId="18" fillId="3" borderId="15" xfId="0" applyFont="1" applyFill="1" applyBorder="1" applyAlignment="1">
      <alignment horizontal="right" vertical="center" wrapText="1"/>
    </xf>
    <xf numFmtId="3" fontId="6" fillId="3" borderId="15" xfId="0" applyNumberFormat="1" applyFont="1" applyFill="1" applyBorder="1" applyAlignment="1">
      <alignment horizontal="right" vertical="center"/>
    </xf>
    <xf numFmtId="3" fontId="6" fillId="3" borderId="15" xfId="0" applyNumberFormat="1" applyFont="1" applyFill="1" applyBorder="1" applyAlignment="1">
      <alignment horizontal="right"/>
    </xf>
    <xf numFmtId="10" fontId="6" fillId="3" borderId="15" xfId="0" applyNumberFormat="1" applyFont="1" applyFill="1" applyBorder="1" applyAlignment="1">
      <alignment vertical="center" wrapText="1"/>
    </xf>
    <xf numFmtId="10" fontId="6" fillId="3" borderId="15" xfId="0" applyNumberFormat="1" applyFont="1" applyFill="1" applyBorder="1" applyAlignment="1">
      <alignment horizontal="right" vertical="center" wrapText="1"/>
    </xf>
    <xf numFmtId="168" fontId="6" fillId="3" borderId="15" xfId="1" applyNumberFormat="1" applyFont="1" applyFill="1" applyBorder="1" applyAlignment="1">
      <alignment horizontal="right" vertical="center" wrapText="1"/>
    </xf>
    <xf numFmtId="168" fontId="6" fillId="3" borderId="15" xfId="1" applyNumberFormat="1" applyFont="1" applyFill="1" applyBorder="1" applyAlignment="1">
      <alignment vertical="center" wrapText="1"/>
    </xf>
    <xf numFmtId="0" fontId="0" fillId="3" borderId="15" xfId="0" applyFont="1" applyFill="1" applyBorder="1"/>
    <xf numFmtId="3" fontId="6" fillId="3" borderId="15" xfId="0" applyNumberFormat="1" applyFont="1" applyFill="1" applyBorder="1" applyAlignment="1">
      <alignment horizontal="center" vertical="center"/>
    </xf>
    <xf numFmtId="10" fontId="6" fillId="3" borderId="15" xfId="0" applyNumberFormat="1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right" vertical="center" wrapText="1"/>
    </xf>
    <xf numFmtId="0" fontId="0" fillId="3" borderId="15" xfId="0" applyFont="1" applyFill="1" applyBorder="1" applyAlignment="1">
      <alignment horizontal="right"/>
    </xf>
    <xf numFmtId="3" fontId="18" fillId="3" borderId="15" xfId="0" applyNumberFormat="1" applyFont="1" applyFill="1" applyBorder="1" applyAlignment="1">
      <alignment horizontal="right"/>
    </xf>
    <xf numFmtId="166" fontId="6" fillId="3" borderId="15" xfId="1" applyNumberFormat="1" applyFont="1" applyFill="1" applyBorder="1" applyAlignment="1">
      <alignment horizontal="right" vertical="center" wrapText="1"/>
    </xf>
    <xf numFmtId="10" fontId="6" fillId="3" borderId="14" xfId="0" applyNumberFormat="1" applyFont="1" applyFill="1" applyBorder="1" applyAlignment="1">
      <alignment vertical="center" wrapText="1"/>
    </xf>
    <xf numFmtId="10" fontId="6" fillId="3" borderId="14" xfId="0" applyNumberFormat="1" applyFont="1" applyFill="1" applyBorder="1" applyAlignment="1">
      <alignment horizontal="right" vertical="center" wrapText="1"/>
    </xf>
    <xf numFmtId="3" fontId="6" fillId="3" borderId="14" xfId="0" applyNumberFormat="1" applyFont="1" applyFill="1" applyBorder="1" applyAlignment="1">
      <alignment vertical="center" wrapText="1"/>
    </xf>
    <xf numFmtId="0" fontId="0" fillId="3" borderId="14" xfId="0" applyFont="1" applyFill="1" applyBorder="1"/>
    <xf numFmtId="0" fontId="6" fillId="3" borderId="15" xfId="0" applyFont="1" applyFill="1" applyBorder="1" applyAlignment="1">
      <alignment vertical="center"/>
    </xf>
    <xf numFmtId="10" fontId="4" fillId="3" borderId="15" xfId="2" applyNumberFormat="1" applyFont="1" applyFill="1" applyBorder="1"/>
    <xf numFmtId="10" fontId="0" fillId="3" borderId="15" xfId="0" applyNumberFormat="1" applyFont="1" applyFill="1" applyBorder="1"/>
    <xf numFmtId="0" fontId="5" fillId="3" borderId="15" xfId="0" applyFont="1" applyFill="1" applyBorder="1" applyAlignment="1">
      <alignment vertical="center"/>
    </xf>
    <xf numFmtId="1" fontId="18" fillId="3" borderId="15" xfId="0" quotePrefix="1" applyNumberFormat="1" applyFont="1" applyFill="1" applyBorder="1" applyAlignment="1">
      <alignment horizontal="right" vertical="center"/>
    </xf>
    <xf numFmtId="0" fontId="6" fillId="3" borderId="15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10" fontId="6" fillId="3" borderId="21" xfId="0" applyNumberFormat="1" applyFont="1" applyFill="1" applyBorder="1" applyAlignment="1">
      <alignment horizontal="right" vertical="center" wrapText="1"/>
    </xf>
    <xf numFmtId="10" fontId="6" fillId="3" borderId="21" xfId="0" applyNumberFormat="1" applyFont="1" applyFill="1" applyBorder="1" applyAlignment="1">
      <alignment vertical="center"/>
    </xf>
    <xf numFmtId="0" fontId="6" fillId="3" borderId="21" xfId="0" applyFont="1" applyFill="1" applyBorder="1"/>
    <xf numFmtId="10" fontId="6" fillId="3" borderId="21" xfId="0" applyNumberFormat="1" applyFont="1" applyFill="1" applyBorder="1" applyAlignment="1">
      <alignment horizontal="right" vertical="center"/>
    </xf>
    <xf numFmtId="10" fontId="6" fillId="3" borderId="22" xfId="0" applyNumberFormat="1" applyFont="1" applyFill="1" applyBorder="1" applyAlignment="1">
      <alignment vertical="center"/>
    </xf>
    <xf numFmtId="0" fontId="6" fillId="3" borderId="22" xfId="0" applyFont="1" applyFill="1" applyBorder="1"/>
    <xf numFmtId="10" fontId="0" fillId="3" borderId="21" xfId="0" applyNumberFormat="1" applyFont="1" applyFill="1" applyBorder="1"/>
    <xf numFmtId="10" fontId="9" fillId="3" borderId="21" xfId="0" applyNumberFormat="1" applyFont="1" applyFill="1" applyBorder="1" applyAlignment="1">
      <alignment horizontal="right" vertical="center" wrapText="1"/>
    </xf>
    <xf numFmtId="10" fontId="9" fillId="3" borderId="21" xfId="0" applyNumberFormat="1" applyFont="1" applyFill="1" applyBorder="1" applyAlignment="1">
      <alignment vertical="center"/>
    </xf>
    <xf numFmtId="3" fontId="3" fillId="3" borderId="14" xfId="0" applyNumberFormat="1" applyFont="1" applyFill="1" applyBorder="1"/>
    <xf numFmtId="0" fontId="0" fillId="0" borderId="0" xfId="0" applyFill="1"/>
    <xf numFmtId="167" fontId="18" fillId="0" borderId="15" xfId="1" applyNumberFormat="1" applyFont="1" applyFill="1" applyBorder="1" applyAlignment="1">
      <alignment vertical="center"/>
    </xf>
    <xf numFmtId="167" fontId="18" fillId="0" borderId="15" xfId="1" applyNumberFormat="1" applyFont="1" applyFill="1" applyBorder="1" applyAlignment="1">
      <alignment horizontal="right" vertical="center"/>
    </xf>
    <xf numFmtId="167" fontId="18" fillId="0" borderId="14" xfId="1" applyNumberFormat="1" applyFont="1" applyFill="1" applyBorder="1" applyAlignment="1">
      <alignment horizontal="right" vertical="center"/>
    </xf>
    <xf numFmtId="0" fontId="0" fillId="0" borderId="14" xfId="0" applyFill="1" applyBorder="1"/>
    <xf numFmtId="0" fontId="0" fillId="0" borderId="15" xfId="0" applyFill="1" applyBorder="1"/>
    <xf numFmtId="0" fontId="14" fillId="0" borderId="15" xfId="0" applyFont="1" applyFill="1" applyBorder="1"/>
    <xf numFmtId="3" fontId="5" fillId="0" borderId="15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 wrapText="1"/>
    </xf>
    <xf numFmtId="3" fontId="6" fillId="0" borderId="15" xfId="0" applyNumberFormat="1" applyFont="1" applyFill="1" applyBorder="1" applyAlignment="1">
      <alignment horizontal="right" vertical="center" wrapText="1"/>
    </xf>
    <xf numFmtId="3" fontId="6" fillId="0" borderId="14" xfId="0" applyNumberFormat="1" applyFont="1" applyFill="1" applyBorder="1" applyAlignment="1">
      <alignment horizontal="right" vertical="center" wrapText="1"/>
    </xf>
    <xf numFmtId="3" fontId="20" fillId="0" borderId="15" xfId="0" applyNumberFormat="1" applyFont="1" applyFill="1" applyBorder="1" applyAlignment="1">
      <alignment horizontal="right" vertical="center" wrapText="1"/>
    </xf>
    <xf numFmtId="3" fontId="20" fillId="0" borderId="14" xfId="0" applyNumberFormat="1" applyFont="1" applyFill="1" applyBorder="1" applyAlignment="1">
      <alignment horizontal="right" vertical="center" wrapText="1"/>
    </xf>
    <xf numFmtId="3" fontId="20" fillId="0" borderId="15" xfId="0" applyNumberFormat="1" applyFont="1" applyFill="1" applyBorder="1" applyAlignment="1">
      <alignment horizontal="right" wrapText="1"/>
    </xf>
    <xf numFmtId="10" fontId="9" fillId="0" borderId="15" xfId="0" applyNumberFormat="1" applyFont="1" applyFill="1" applyBorder="1" applyAlignment="1">
      <alignment vertical="center" wrapText="1"/>
    </xf>
    <xf numFmtId="3" fontId="20" fillId="0" borderId="15" xfId="0" applyNumberFormat="1" applyFont="1" applyFill="1" applyBorder="1" applyAlignment="1">
      <alignment vertical="center" wrapText="1"/>
    </xf>
    <xf numFmtId="3" fontId="20" fillId="0" borderId="14" xfId="0" applyNumberFormat="1" applyFont="1" applyFill="1" applyBorder="1" applyAlignment="1">
      <alignment vertical="center" wrapText="1"/>
    </xf>
    <xf numFmtId="0" fontId="6" fillId="0" borderId="15" xfId="0" applyFont="1" applyFill="1" applyBorder="1"/>
    <xf numFmtId="3" fontId="6" fillId="0" borderId="15" xfId="0" applyNumberFormat="1" applyFont="1" applyFill="1" applyBorder="1" applyAlignment="1">
      <alignment vertical="center"/>
    </xf>
    <xf numFmtId="3" fontId="18" fillId="0" borderId="14" xfId="0" applyNumberFormat="1" applyFont="1" applyFill="1" applyBorder="1" applyAlignment="1">
      <alignment horizontal="right" vertical="center" wrapText="1"/>
    </xf>
    <xf numFmtId="3" fontId="18" fillId="0" borderId="15" xfId="0" applyNumberFormat="1" applyFont="1" applyFill="1" applyBorder="1" applyAlignment="1">
      <alignment horizontal="right" vertical="center" wrapText="1"/>
    </xf>
    <xf numFmtId="3" fontId="18" fillId="0" borderId="15" xfId="0" applyNumberFormat="1" applyFont="1" applyFill="1" applyBorder="1" applyAlignment="1">
      <alignment horizontal="right" wrapText="1"/>
    </xf>
    <xf numFmtId="3" fontId="18" fillId="0" borderId="15" xfId="0" applyNumberFormat="1" applyFont="1" applyFill="1" applyBorder="1" applyAlignment="1">
      <alignment vertical="center"/>
    </xf>
    <xf numFmtId="3" fontId="3" fillId="0" borderId="14" xfId="0" applyNumberFormat="1" applyFont="1" applyFill="1" applyBorder="1"/>
    <xf numFmtId="3" fontId="18" fillId="0" borderId="14" xfId="0" applyNumberFormat="1" applyFont="1" applyFill="1" applyBorder="1" applyAlignment="1">
      <alignment vertical="center" wrapText="1"/>
    </xf>
    <xf numFmtId="3" fontId="18" fillId="0" borderId="15" xfId="0" applyNumberFormat="1" applyFont="1" applyFill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/>
    </xf>
    <xf numFmtId="3" fontId="0" fillId="3" borderId="2" xfId="0" applyNumberFormat="1" applyFill="1" applyBorder="1" applyAlignment="1">
      <alignment vertical="center"/>
    </xf>
    <xf numFmtId="3" fontId="9" fillId="0" borderId="2" xfId="0" applyNumberFormat="1" applyFont="1" applyBorder="1" applyAlignment="1">
      <alignment vertical="center" wrapText="1"/>
    </xf>
    <xf numFmtId="10" fontId="9" fillId="0" borderId="2" xfId="0" applyNumberFormat="1" applyFont="1" applyBorder="1" applyAlignment="1">
      <alignment vertical="center" wrapText="1"/>
    </xf>
    <xf numFmtId="10" fontId="9" fillId="3" borderId="2" xfId="0" applyNumberFormat="1" applyFont="1" applyFill="1" applyBorder="1" applyAlignment="1">
      <alignment vertical="center" wrapText="1"/>
    </xf>
    <xf numFmtId="10" fontId="9" fillId="3" borderId="1" xfId="0" applyNumberFormat="1" applyFont="1" applyFill="1" applyBorder="1" applyAlignment="1">
      <alignment vertical="center" wrapText="1"/>
    </xf>
    <xf numFmtId="10" fontId="9" fillId="3" borderId="0" xfId="0" applyNumberFormat="1" applyFont="1" applyFill="1" applyAlignment="1">
      <alignment vertical="center" wrapText="1"/>
    </xf>
    <xf numFmtId="0" fontId="5" fillId="3" borderId="2" xfId="0" applyFont="1" applyFill="1" applyBorder="1" applyAlignment="1">
      <alignment horizontal="left" vertical="center" wrapText="1"/>
    </xf>
    <xf numFmtId="3" fontId="6" fillId="0" borderId="2" xfId="0" applyNumberFormat="1" applyFont="1" applyBorder="1" applyAlignment="1">
      <alignment horizontal="right" vertical="center" wrapText="1"/>
    </xf>
    <xf numFmtId="10" fontId="6" fillId="0" borderId="2" xfId="2" applyNumberFormat="1" applyFont="1" applyBorder="1" applyAlignment="1">
      <alignment horizontal="right" vertical="center" wrapText="1"/>
    </xf>
    <xf numFmtId="10" fontId="6" fillId="3" borderId="2" xfId="2" applyNumberFormat="1" applyFont="1" applyFill="1" applyBorder="1" applyAlignment="1">
      <alignment horizontal="right" vertical="center" wrapText="1"/>
    </xf>
    <xf numFmtId="10" fontId="6" fillId="4" borderId="2" xfId="2" applyNumberFormat="1" applyFont="1" applyFill="1" applyBorder="1" applyAlignment="1">
      <alignment horizontal="right" vertical="center" wrapText="1"/>
    </xf>
    <xf numFmtId="166" fontId="6" fillId="0" borderId="2" xfId="1" applyNumberFormat="1" applyFont="1" applyBorder="1" applyAlignment="1">
      <alignment horizontal="right" vertical="center" wrapText="1"/>
    </xf>
    <xf numFmtId="10" fontId="0" fillId="3" borderId="1" xfId="0" applyNumberFormat="1" applyFill="1" applyBorder="1" applyAlignment="1">
      <alignment vertical="center"/>
    </xf>
    <xf numFmtId="10" fontId="0" fillId="3" borderId="0" xfId="0" applyNumberFormat="1" applyFill="1" applyAlignment="1">
      <alignment vertical="center"/>
    </xf>
    <xf numFmtId="3" fontId="6" fillId="5" borderId="2" xfId="0" applyNumberFormat="1" applyFont="1" applyFill="1" applyBorder="1" applyAlignment="1">
      <alignment horizontal="right" vertical="center" wrapText="1"/>
    </xf>
    <xf numFmtId="10" fontId="6" fillId="5" borderId="2" xfId="2" applyNumberFormat="1" applyFont="1" applyFill="1" applyBorder="1" applyAlignment="1">
      <alignment horizontal="right" vertical="center" wrapText="1"/>
    </xf>
    <xf numFmtId="10" fontId="19" fillId="3" borderId="2" xfId="0" applyNumberFormat="1" applyFont="1" applyFill="1" applyBorder="1" applyAlignment="1">
      <alignment horizontal="right" vertical="center" wrapText="1"/>
    </xf>
    <xf numFmtId="10" fontId="0" fillId="4" borderId="0" xfId="0" applyNumberFormat="1" applyFill="1" applyAlignment="1">
      <alignment vertical="center"/>
    </xf>
    <xf numFmtId="10" fontId="6" fillId="3" borderId="23" xfId="2" applyNumberFormat="1" applyFont="1" applyFill="1" applyBorder="1" applyAlignment="1">
      <alignment horizontal="right" vertical="center" wrapText="1"/>
    </xf>
    <xf numFmtId="10" fontId="6" fillId="5" borderId="23" xfId="2" applyNumberFormat="1" applyFont="1" applyFill="1" applyBorder="1" applyAlignment="1">
      <alignment horizontal="right" vertical="center" wrapText="1"/>
    </xf>
    <xf numFmtId="10" fontId="0" fillId="5" borderId="0" xfId="0" applyNumberFormat="1" applyFill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3" fontId="0" fillId="3" borderId="0" xfId="0" applyNumberFormat="1" applyFill="1" applyAlignment="1">
      <alignment vertical="center"/>
    </xf>
    <xf numFmtId="3" fontId="0" fillId="0" borderId="0" xfId="0" applyNumberFormat="1" applyAlignment="1">
      <alignment vertical="center"/>
    </xf>
    <xf numFmtId="10" fontId="0" fillId="0" borderId="2" xfId="0" applyNumberFormat="1" applyBorder="1" applyAlignment="1">
      <alignment vertical="center"/>
    </xf>
    <xf numFmtId="10" fontId="0" fillId="3" borderId="2" xfId="0" applyNumberFormat="1" applyFill="1" applyBorder="1" applyAlignment="1">
      <alignment vertical="center"/>
    </xf>
    <xf numFmtId="3" fontId="0" fillId="0" borderId="2" xfId="0" applyNumberFormat="1" applyBorder="1" applyAlignment="1">
      <alignment vertical="center"/>
    </xf>
    <xf numFmtId="10" fontId="0" fillId="5" borderId="2" xfId="0" applyNumberFormat="1" applyFill="1" applyBorder="1" applyAlignment="1">
      <alignment vertical="center"/>
    </xf>
    <xf numFmtId="10" fontId="0" fillId="3" borderId="23" xfId="2" applyNumberFormat="1" applyFont="1" applyFill="1" applyBorder="1" applyAlignment="1">
      <alignment vertical="center"/>
    </xf>
    <xf numFmtId="10" fontId="0" fillId="3" borderId="2" xfId="2" applyNumberFormat="1" applyFont="1" applyFill="1" applyBorder="1" applyAlignment="1">
      <alignment vertical="center"/>
    </xf>
    <xf numFmtId="10" fontId="6" fillId="3" borderId="16" xfId="2" applyNumberFormat="1" applyFont="1" applyFill="1" applyBorder="1" applyAlignment="1">
      <alignment horizontal="right" vertical="center" wrapText="1"/>
    </xf>
    <xf numFmtId="10" fontId="6" fillId="3" borderId="24" xfId="2" applyNumberFormat="1" applyFont="1" applyFill="1" applyBorder="1" applyAlignment="1">
      <alignment horizontal="right" vertical="center" wrapText="1"/>
    </xf>
    <xf numFmtId="166" fontId="0" fillId="0" borderId="2" xfId="1" applyNumberFormat="1" applyFont="1" applyBorder="1" applyAlignment="1">
      <alignment vertical="center"/>
    </xf>
    <xf numFmtId="10" fontId="0" fillId="3" borderId="16" xfId="0" applyNumberFormat="1" applyFill="1" applyBorder="1" applyAlignment="1">
      <alignment vertical="center"/>
    </xf>
    <xf numFmtId="10" fontId="0" fillId="4" borderId="1" xfId="0" applyNumberFormat="1" applyFill="1" applyBorder="1" applyAlignment="1">
      <alignment vertical="center"/>
    </xf>
    <xf numFmtId="3" fontId="20" fillId="0" borderId="2" xfId="0" applyNumberFormat="1" applyFont="1" applyBorder="1" applyAlignment="1">
      <alignment horizontal="right" vertical="center" wrapText="1"/>
    </xf>
    <xf numFmtId="10" fontId="0" fillId="5" borderId="16" xfId="0" applyNumberFormat="1" applyFill="1" applyBorder="1" applyAlignment="1">
      <alignment vertical="center"/>
    </xf>
    <xf numFmtId="10" fontId="0" fillId="5" borderId="2" xfId="2" applyNumberFormat="1" applyFont="1" applyFill="1" applyBorder="1" applyAlignment="1">
      <alignment vertical="center"/>
    </xf>
    <xf numFmtId="3" fontId="0" fillId="4" borderId="2" xfId="0" applyNumberFormat="1" applyFill="1" applyBorder="1" applyAlignment="1">
      <alignment vertical="center"/>
    </xf>
    <xf numFmtId="10" fontId="0" fillId="4" borderId="2" xfId="0" applyNumberFormat="1" applyFill="1" applyBorder="1" applyAlignment="1">
      <alignment vertical="center"/>
    </xf>
    <xf numFmtId="10" fontId="0" fillId="4" borderId="2" xfId="2" applyNumberFormat="1" applyFont="1" applyFill="1" applyBorder="1" applyAlignment="1">
      <alignment vertical="center"/>
    </xf>
    <xf numFmtId="10" fontId="19" fillId="4" borderId="2" xfId="2" applyNumberFormat="1" applyFont="1" applyFill="1" applyBorder="1" applyAlignment="1">
      <alignment vertical="center"/>
    </xf>
    <xf numFmtId="10" fontId="19" fillId="3" borderId="2" xfId="2" applyNumberFormat="1" applyFont="1" applyFill="1" applyBorder="1" applyAlignment="1">
      <alignment vertical="center"/>
    </xf>
    <xf numFmtId="3" fontId="0" fillId="5" borderId="2" xfId="0" applyNumberFormat="1" applyFill="1" applyBorder="1" applyAlignment="1">
      <alignment vertical="center"/>
    </xf>
    <xf numFmtId="10" fontId="0" fillId="3" borderId="25" xfId="0" applyNumberFormat="1" applyFill="1" applyBorder="1" applyAlignment="1">
      <alignment vertical="center"/>
    </xf>
    <xf numFmtId="3" fontId="0" fillId="5" borderId="25" xfId="0" applyNumberFormat="1" applyFill="1" applyBorder="1" applyAlignment="1">
      <alignment vertical="center"/>
    </xf>
    <xf numFmtId="10" fontId="0" fillId="3" borderId="2" xfId="2" applyNumberFormat="1" applyFont="1" applyFill="1" applyBorder="1" applyAlignment="1">
      <alignment horizontal="right" vertical="center"/>
    </xf>
    <xf numFmtId="10" fontId="0" fillId="3" borderId="1" xfId="0" applyNumberFormat="1" applyFill="1" applyBorder="1" applyAlignment="1">
      <alignment horizontal="right" vertical="center"/>
    </xf>
    <xf numFmtId="10" fontId="0" fillId="3" borderId="0" xfId="0" applyNumberFormat="1" applyFill="1" applyAlignment="1">
      <alignment horizontal="right" vertical="center"/>
    </xf>
    <xf numFmtId="10" fontId="0" fillId="5" borderId="1" xfId="0" applyNumberFormat="1" applyFill="1" applyBorder="1" applyAlignment="1">
      <alignment vertical="center"/>
    </xf>
    <xf numFmtId="0" fontId="5" fillId="3" borderId="26" xfId="0" applyFont="1" applyFill="1" applyBorder="1" applyAlignment="1">
      <alignment horizontal="left" vertical="center" wrapText="1"/>
    </xf>
    <xf numFmtId="0" fontId="5" fillId="3" borderId="26" xfId="0" applyFont="1" applyFill="1" applyBorder="1" applyAlignment="1">
      <alignment horizontal="left" vertical="center"/>
    </xf>
    <xf numFmtId="3" fontId="0" fillId="3" borderId="26" xfId="0" applyNumberFormat="1" applyFill="1" applyBorder="1" applyAlignment="1">
      <alignment vertical="center"/>
    </xf>
    <xf numFmtId="3" fontId="0" fillId="5" borderId="26" xfId="0" applyNumberFormat="1" applyFill="1" applyBorder="1" applyAlignment="1">
      <alignment vertical="center"/>
    </xf>
    <xf numFmtId="10" fontId="0" fillId="4" borderId="26" xfId="0" applyNumberFormat="1" applyFill="1" applyBorder="1" applyAlignment="1">
      <alignment vertical="center"/>
    </xf>
    <xf numFmtId="10" fontId="0" fillId="3" borderId="26" xfId="0" applyNumberFormat="1" applyFill="1" applyBorder="1" applyAlignment="1">
      <alignment vertical="center"/>
    </xf>
    <xf numFmtId="10" fontId="0" fillId="0" borderId="26" xfId="0" applyNumberFormat="1" applyBorder="1" applyAlignment="1">
      <alignment vertical="center"/>
    </xf>
    <xf numFmtId="10" fontId="0" fillId="5" borderId="26" xfId="0" applyNumberFormat="1" applyFill="1" applyBorder="1" applyAlignment="1">
      <alignment vertical="center"/>
    </xf>
    <xf numFmtId="10" fontId="0" fillId="3" borderId="26" xfId="2" applyNumberFormat="1" applyFont="1" applyFill="1" applyBorder="1" applyAlignment="1">
      <alignment vertical="center"/>
    </xf>
    <xf numFmtId="10" fontId="0" fillId="4" borderId="26" xfId="2" applyNumberFormat="1" applyFont="1" applyFill="1" applyBorder="1" applyAlignment="1">
      <alignment vertical="center"/>
    </xf>
    <xf numFmtId="10" fontId="0" fillId="3" borderId="26" xfId="2" applyNumberFormat="1" applyFont="1" applyFill="1" applyBorder="1" applyAlignment="1">
      <alignment horizontal="right" vertical="center"/>
    </xf>
    <xf numFmtId="10" fontId="0" fillId="3" borderId="27" xfId="0" applyNumberFormat="1" applyFill="1" applyBorder="1" applyAlignment="1">
      <alignment horizontal="right" vertical="center"/>
    </xf>
    <xf numFmtId="10" fontId="0" fillId="3" borderId="28" xfId="0" applyNumberFormat="1" applyFill="1" applyBorder="1" applyAlignment="1">
      <alignment horizontal="right" vertical="center"/>
    </xf>
    <xf numFmtId="0" fontId="5" fillId="0" borderId="25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/>
    </xf>
    <xf numFmtId="3" fontId="0" fillId="3" borderId="25" xfId="0" applyNumberFormat="1" applyFill="1" applyBorder="1" applyAlignment="1">
      <alignment vertical="center"/>
    </xf>
    <xf numFmtId="3" fontId="0" fillId="0" borderId="25" xfId="0" applyNumberFormat="1" applyBorder="1" applyAlignment="1">
      <alignment vertical="center"/>
    </xf>
    <xf numFmtId="10" fontId="0" fillId="0" borderId="25" xfId="0" applyNumberFormat="1" applyBorder="1" applyAlignment="1">
      <alignment vertical="center"/>
    </xf>
    <xf numFmtId="10" fontId="0" fillId="5" borderId="25" xfId="0" applyNumberFormat="1" applyFill="1" applyBorder="1" applyAlignment="1">
      <alignment vertical="center"/>
    </xf>
    <xf numFmtId="10" fontId="0" fillId="3" borderId="25" xfId="2" applyNumberFormat="1" applyFont="1" applyFill="1" applyBorder="1" applyAlignment="1">
      <alignment vertical="center"/>
    </xf>
    <xf numFmtId="10" fontId="0" fillId="3" borderId="29" xfId="0" applyNumberFormat="1" applyFill="1" applyBorder="1" applyAlignment="1">
      <alignment vertical="center"/>
    </xf>
    <xf numFmtId="3" fontId="20" fillId="5" borderId="2" xfId="0" applyNumberFormat="1" applyFont="1" applyFill="1" applyBorder="1" applyAlignment="1">
      <alignment horizontal="right" vertical="center" wrapText="1"/>
    </xf>
    <xf numFmtId="10" fontId="0" fillId="5" borderId="23" xfId="0" applyNumberFormat="1" applyFill="1" applyBorder="1" applyAlignment="1">
      <alignment vertical="center"/>
    </xf>
    <xf numFmtId="3" fontId="0" fillId="0" borderId="16" xfId="0" applyNumberFormat="1" applyBorder="1" applyAlignment="1">
      <alignment vertical="center"/>
    </xf>
    <xf numFmtId="10" fontId="0" fillId="0" borderId="16" xfId="0" applyNumberFormat="1" applyBorder="1" applyAlignment="1">
      <alignment vertical="center"/>
    </xf>
    <xf numFmtId="3" fontId="20" fillId="0" borderId="26" xfId="0" applyNumberFormat="1" applyFont="1" applyBorder="1" applyAlignment="1">
      <alignment horizontal="right" vertical="center" wrapText="1"/>
    </xf>
    <xf numFmtId="10" fontId="6" fillId="0" borderId="26" xfId="2" applyNumberFormat="1" applyFont="1" applyBorder="1" applyAlignment="1">
      <alignment horizontal="right" vertical="center" wrapText="1"/>
    </xf>
    <xf numFmtId="10" fontId="6" fillId="3" borderId="26" xfId="2" applyNumberFormat="1" applyFont="1" applyFill="1" applyBorder="1" applyAlignment="1">
      <alignment horizontal="right" vertical="center" wrapText="1"/>
    </xf>
    <xf numFmtId="3" fontId="0" fillId="0" borderId="26" xfId="0" applyNumberFormat="1" applyBorder="1" applyAlignment="1">
      <alignment vertical="center"/>
    </xf>
    <xf numFmtId="10" fontId="0" fillId="3" borderId="27" xfId="0" applyNumberFormat="1" applyFill="1" applyBorder="1" applyAlignment="1">
      <alignment vertical="center"/>
    </xf>
    <xf numFmtId="10" fontId="0" fillId="3" borderId="28" xfId="0" applyNumberFormat="1" applyFill="1" applyBorder="1" applyAlignment="1">
      <alignment vertical="center"/>
    </xf>
    <xf numFmtId="0" fontId="5" fillId="3" borderId="25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left" vertical="center"/>
    </xf>
    <xf numFmtId="3" fontId="20" fillId="0" borderId="25" xfId="0" applyNumberFormat="1" applyFont="1" applyBorder="1" applyAlignment="1">
      <alignment horizontal="right" vertical="center" wrapText="1"/>
    </xf>
    <xf numFmtId="10" fontId="0" fillId="3" borderId="25" xfId="2" applyNumberFormat="1" applyFont="1" applyFill="1" applyBorder="1" applyAlignment="1">
      <alignment horizontal="right" vertical="center"/>
    </xf>
    <xf numFmtId="10" fontId="19" fillId="3" borderId="2" xfId="2" applyNumberFormat="1" applyFont="1" applyFill="1" applyBorder="1" applyAlignment="1">
      <alignment horizontal="right" vertical="center"/>
    </xf>
    <xf numFmtId="0" fontId="5" fillId="3" borderId="16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left" vertical="center"/>
    </xf>
    <xf numFmtId="3" fontId="0" fillId="3" borderId="16" xfId="0" applyNumberFormat="1" applyFill="1" applyBorder="1" applyAlignment="1">
      <alignment vertical="center"/>
    </xf>
    <xf numFmtId="10" fontId="0" fillId="3" borderId="16" xfId="2" applyNumberFormat="1" applyFont="1" applyFill="1" applyBorder="1" applyAlignment="1">
      <alignment vertical="center"/>
    </xf>
    <xf numFmtId="10" fontId="0" fillId="4" borderId="16" xfId="2" applyNumberFormat="1" applyFont="1" applyFill="1" applyBorder="1" applyAlignment="1">
      <alignment vertical="center"/>
    </xf>
    <xf numFmtId="10" fontId="0" fillId="4" borderId="18" xfId="0" applyNumberFormat="1" applyFill="1" applyBorder="1" applyAlignment="1">
      <alignment vertical="center"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/>
    </xf>
    <xf numFmtId="3" fontId="0" fillId="3" borderId="31" xfId="0" applyNumberFormat="1" applyFill="1" applyBorder="1" applyAlignment="1">
      <alignment vertical="center"/>
    </xf>
    <xf numFmtId="3" fontId="0" fillId="0" borderId="31" xfId="0" applyNumberFormat="1" applyBorder="1" applyAlignment="1">
      <alignment vertical="center"/>
    </xf>
    <xf numFmtId="10" fontId="0" fillId="0" borderId="31" xfId="0" applyNumberFormat="1" applyBorder="1" applyAlignment="1">
      <alignment vertical="center"/>
    </xf>
    <xf numFmtId="10" fontId="0" fillId="3" borderId="31" xfId="0" applyNumberFormat="1" applyFill="1" applyBorder="1" applyAlignment="1">
      <alignment vertical="center"/>
    </xf>
    <xf numFmtId="10" fontId="0" fillId="5" borderId="31" xfId="0" applyNumberFormat="1" applyFill="1" applyBorder="1" applyAlignment="1">
      <alignment vertical="center"/>
    </xf>
    <xf numFmtId="10" fontId="0" fillId="3" borderId="31" xfId="2" applyNumberFormat="1" applyFont="1" applyFill="1" applyBorder="1" applyAlignment="1">
      <alignment vertical="center"/>
    </xf>
    <xf numFmtId="10" fontId="0" fillId="3" borderId="32" xfId="0" applyNumberFormat="1" applyFill="1" applyBorder="1" applyAlignment="1">
      <alignment vertical="center"/>
    </xf>
    <xf numFmtId="0" fontId="0" fillId="0" borderId="33" xfId="0" applyBorder="1"/>
    <xf numFmtId="0" fontId="5" fillId="3" borderId="34" xfId="0" applyFont="1" applyFill="1" applyBorder="1" applyAlignment="1">
      <alignment horizontal="left" vertical="center" wrapText="1"/>
    </xf>
    <xf numFmtId="10" fontId="0" fillId="3" borderId="35" xfId="0" applyNumberFormat="1" applyFill="1" applyBorder="1" applyAlignment="1">
      <alignment vertical="center"/>
    </xf>
    <xf numFmtId="0" fontId="5" fillId="0" borderId="34" xfId="0" applyFont="1" applyBorder="1" applyAlignment="1">
      <alignment horizontal="left" vertical="center" wrapText="1"/>
    </xf>
    <xf numFmtId="0" fontId="0" fillId="0" borderId="35" xfId="0" applyBorder="1"/>
    <xf numFmtId="0" fontId="5" fillId="0" borderId="36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/>
    </xf>
    <xf numFmtId="0" fontId="0" fillId="0" borderId="37" xfId="0" applyBorder="1"/>
    <xf numFmtId="0" fontId="5" fillId="0" borderId="0" xfId="0" applyFont="1" applyAlignment="1">
      <alignment horizontal="left" vertical="center" wrapText="1"/>
    </xf>
    <xf numFmtId="167" fontId="0" fillId="0" borderId="0" xfId="0" applyNumberFormat="1"/>
    <xf numFmtId="167" fontId="19" fillId="0" borderId="15" xfId="1" applyNumberFormat="1" applyFont="1" applyFill="1" applyBorder="1" applyAlignment="1">
      <alignment horizontal="right" vertical="center"/>
    </xf>
    <xf numFmtId="3" fontId="9" fillId="0" borderId="15" xfId="0" applyNumberFormat="1" applyFont="1" applyBorder="1" applyAlignment="1">
      <alignment horizontal="right" vertical="center" wrapText="1"/>
    </xf>
    <xf numFmtId="3" fontId="19" fillId="0" borderId="15" xfId="0" applyNumberFormat="1" applyFont="1" applyBorder="1" applyAlignment="1">
      <alignment vertical="center"/>
    </xf>
    <xf numFmtId="167" fontId="3" fillId="0" borderId="14" xfId="1" applyNumberFormat="1" applyFont="1" applyFill="1" applyBorder="1" applyAlignment="1">
      <alignment horizontal="right" vertical="center"/>
    </xf>
    <xf numFmtId="167" fontId="19" fillId="0" borderId="14" xfId="1" applyNumberFormat="1" applyFont="1" applyFill="1" applyBorder="1" applyAlignment="1">
      <alignment horizontal="right" vertical="center"/>
    </xf>
    <xf numFmtId="3" fontId="9" fillId="0" borderId="14" xfId="0" applyNumberFormat="1" applyFont="1" applyBorder="1" applyAlignment="1">
      <alignment horizontal="right" vertical="center" wrapText="1"/>
    </xf>
    <xf numFmtId="3" fontId="19" fillId="0" borderId="4" xfId="0" applyNumberFormat="1" applyFont="1" applyBorder="1" applyAlignment="1">
      <alignment horizontal="right" vertical="center" wrapText="1"/>
    </xf>
    <xf numFmtId="167" fontId="3" fillId="0" borderId="15" xfId="1" applyNumberFormat="1" applyFont="1" applyFill="1" applyBorder="1" applyAlignment="1">
      <alignment horizontal="right" vertical="center"/>
    </xf>
    <xf numFmtId="0" fontId="0" fillId="0" borderId="14" xfId="0" applyBorder="1"/>
    <xf numFmtId="0" fontId="42" fillId="0" borderId="14" xfId="0" applyFont="1" applyBorder="1"/>
    <xf numFmtId="0" fontId="0" fillId="0" borderId="15" xfId="0" applyBorder="1"/>
    <xf numFmtId="0" fontId="42" fillId="0" borderId="15" xfId="0" applyFont="1" applyBorder="1"/>
    <xf numFmtId="3" fontId="9" fillId="0" borderId="15" xfId="0" applyNumberFormat="1" applyFont="1" applyBorder="1" applyAlignment="1">
      <alignment vertical="center" wrapText="1"/>
    </xf>
    <xf numFmtId="3" fontId="9" fillId="0" borderId="4" xfId="0" applyNumberFormat="1" applyFont="1" applyBorder="1" applyAlignment="1">
      <alignment horizontal="right" vertical="center" wrapText="1"/>
    </xf>
    <xf numFmtId="3" fontId="19" fillId="0" borderId="15" xfId="0" applyNumberFormat="1" applyFont="1" applyBorder="1" applyAlignment="1">
      <alignment horizontal="right" vertical="center" wrapText="1"/>
    </xf>
    <xf numFmtId="3" fontId="19" fillId="0" borderId="15" xfId="0" applyNumberFormat="1" applyFont="1" applyBorder="1" applyAlignment="1">
      <alignment vertical="center" wrapText="1"/>
    </xf>
    <xf numFmtId="3" fontId="19" fillId="0" borderId="4" xfId="0" applyNumberFormat="1" applyFont="1" applyBorder="1" applyAlignment="1">
      <alignment vertical="center" wrapText="1"/>
    </xf>
    <xf numFmtId="3" fontId="19" fillId="0" borderId="4" xfId="0" applyNumberFormat="1" applyFont="1" applyBorder="1" applyAlignment="1">
      <alignment wrapText="1"/>
    </xf>
    <xf numFmtId="0" fontId="14" fillId="0" borderId="15" xfId="0" applyFont="1" applyBorder="1"/>
    <xf numFmtId="0" fontId="43" fillId="0" borderId="15" xfId="0" applyFont="1" applyBorder="1"/>
    <xf numFmtId="3" fontId="19" fillId="0" borderId="14" xfId="0" applyNumberFormat="1" applyFont="1" applyBorder="1" applyAlignment="1">
      <alignment horizontal="right" vertical="center" wrapText="1"/>
    </xf>
    <xf numFmtId="3" fontId="19" fillId="0" borderId="14" xfId="0" applyNumberFormat="1" applyFont="1" applyBorder="1" applyAlignment="1">
      <alignment vertical="center" wrapText="1"/>
    </xf>
    <xf numFmtId="3" fontId="5" fillId="0" borderId="15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19" fillId="0" borderId="15" xfId="0" applyNumberFormat="1" applyFont="1" applyBorder="1" applyAlignment="1">
      <alignment horizontal="right" wrapText="1"/>
    </xf>
    <xf numFmtId="10" fontId="9" fillId="0" borderId="15" xfId="0" applyNumberFormat="1" applyFont="1" applyBorder="1" applyAlignment="1">
      <alignment vertical="center" wrapText="1"/>
    </xf>
    <xf numFmtId="0" fontId="9" fillId="0" borderId="15" xfId="0" applyFont="1" applyBorder="1"/>
    <xf numFmtId="0" fontId="6" fillId="0" borderId="15" xfId="0" applyFont="1" applyBorder="1"/>
    <xf numFmtId="3" fontId="9" fillId="0" borderId="15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167" fontId="3" fillId="0" borderId="15" xfId="1" applyNumberFormat="1" applyFont="1" applyFill="1" applyBorder="1" applyAlignment="1">
      <alignment vertical="center"/>
    </xf>
    <xf numFmtId="167" fontId="19" fillId="0" borderId="15" xfId="1" applyNumberFormat="1" applyFont="1" applyFill="1" applyBorder="1" applyAlignment="1">
      <alignment vertical="center"/>
    </xf>
    <xf numFmtId="0" fontId="44" fillId="0" borderId="0" xfId="0" applyFont="1"/>
    <xf numFmtId="0" fontId="7" fillId="37" borderId="16" xfId="0" applyFont="1" applyFill="1" applyBorder="1" applyAlignment="1">
      <alignment vertical="center" wrapText="1"/>
    </xf>
    <xf numFmtId="3" fontId="19" fillId="3" borderId="15" xfId="0" applyNumberFormat="1" applyFont="1" applyFill="1" applyBorder="1" applyAlignment="1">
      <alignment horizontal="right" vertical="center" wrapText="1"/>
    </xf>
    <xf numFmtId="3" fontId="19" fillId="0" borderId="15" xfId="0" applyNumberFormat="1" applyFont="1" applyFill="1" applyBorder="1" applyAlignment="1">
      <alignment vertical="center"/>
    </xf>
    <xf numFmtId="167" fontId="2" fillId="0" borderId="15" xfId="1" applyNumberFormat="1" applyFont="1" applyFill="1" applyBorder="1" applyAlignment="1">
      <alignment horizontal="right" vertical="center"/>
    </xf>
    <xf numFmtId="3" fontId="9" fillId="0" borderId="15" xfId="0" applyNumberFormat="1" applyFont="1" applyFill="1" applyBorder="1" applyAlignment="1">
      <alignment horizontal="right" vertical="center" wrapText="1"/>
    </xf>
    <xf numFmtId="167" fontId="2" fillId="0" borderId="14" xfId="1" applyNumberFormat="1" applyFont="1" applyFill="1" applyBorder="1" applyAlignment="1">
      <alignment horizontal="right" vertical="center"/>
    </xf>
    <xf numFmtId="0" fontId="4" fillId="0" borderId="14" xfId="0" applyFont="1" applyFill="1" applyBorder="1"/>
    <xf numFmtId="0" fontId="4" fillId="0" borderId="15" xfId="0" applyFont="1" applyFill="1" applyBorder="1"/>
    <xf numFmtId="3" fontId="10" fillId="0" borderId="15" xfId="0" applyNumberFormat="1" applyFont="1" applyFill="1" applyBorder="1" applyAlignment="1">
      <alignment vertical="center"/>
    </xf>
    <xf numFmtId="10" fontId="9" fillId="0" borderId="4" xfId="2" applyNumberFormat="1" applyFont="1" applyFill="1" applyBorder="1" applyAlignment="1">
      <alignment horizontal="right" vertical="center" wrapText="1"/>
    </xf>
    <xf numFmtId="10" fontId="17" fillId="0" borderId="4" xfId="0" applyNumberFormat="1" applyFont="1" applyBorder="1" applyAlignment="1">
      <alignment horizontal="right" vertical="center" wrapText="1"/>
    </xf>
    <xf numFmtId="10" fontId="9" fillId="3" borderId="4" xfId="0" applyNumberFormat="1" applyFont="1" applyFill="1" applyBorder="1" applyAlignment="1">
      <alignment horizontal="right" vertical="center" wrapText="1"/>
    </xf>
    <xf numFmtId="10" fontId="6" fillId="0" borderId="15" xfId="2" applyNumberFormat="1" applyFont="1" applyFill="1" applyBorder="1" applyAlignment="1">
      <alignment horizontal="right" vertical="center" wrapText="1"/>
    </xf>
    <xf numFmtId="10" fontId="6" fillId="0" borderId="15" xfId="0" applyNumberFormat="1" applyFont="1" applyFill="1" applyBorder="1" applyAlignment="1">
      <alignment horizontal="right" vertical="center"/>
    </xf>
    <xf numFmtId="10" fontId="6" fillId="0" borderId="21" xfId="0" applyNumberFormat="1" applyFont="1" applyFill="1" applyBorder="1" applyAlignment="1">
      <alignment horizontal="right" vertical="center"/>
    </xf>
    <xf numFmtId="10" fontId="6" fillId="0" borderId="15" xfId="0" applyNumberFormat="1" applyFont="1" applyFill="1" applyBorder="1" applyAlignment="1">
      <alignment vertical="center"/>
    </xf>
    <xf numFmtId="10" fontId="6" fillId="0" borderId="21" xfId="0" applyNumberFormat="1" applyFont="1" applyFill="1" applyBorder="1" applyAlignment="1">
      <alignment vertical="center"/>
    </xf>
    <xf numFmtId="10" fontId="6" fillId="0" borderId="15" xfId="2" applyNumberFormat="1" applyFont="1" applyFill="1" applyBorder="1" applyAlignment="1">
      <alignment vertical="center"/>
    </xf>
    <xf numFmtId="10" fontId="9" fillId="0" borderId="21" xfId="0" applyNumberFormat="1" applyFont="1" applyFill="1" applyBorder="1" applyAlignment="1">
      <alignment horizontal="right" vertical="center" wrapText="1"/>
    </xf>
    <xf numFmtId="10" fontId="9" fillId="0" borderId="15" xfId="2" applyNumberFormat="1" applyFont="1" applyFill="1" applyBorder="1" applyAlignment="1">
      <alignment vertical="center"/>
    </xf>
    <xf numFmtId="10" fontId="9" fillId="0" borderId="15" xfId="0" applyNumberFormat="1" applyFont="1" applyFill="1" applyBorder="1" applyAlignment="1">
      <alignment vertical="center"/>
    </xf>
    <xf numFmtId="10" fontId="9" fillId="0" borderId="21" xfId="0" applyNumberFormat="1" applyFont="1" applyFill="1" applyBorder="1" applyAlignment="1">
      <alignment vertical="center"/>
    </xf>
    <xf numFmtId="0" fontId="6" fillId="0" borderId="21" xfId="0" applyFont="1" applyFill="1" applyBorder="1"/>
    <xf numFmtId="10" fontId="6" fillId="0" borderId="15" xfId="2" applyNumberFormat="1" applyFont="1" applyFill="1" applyBorder="1" applyAlignment="1">
      <alignment horizontal="right" vertical="center"/>
    </xf>
    <xf numFmtId="10" fontId="6" fillId="0" borderId="14" xfId="2" applyNumberFormat="1" applyFont="1" applyFill="1" applyBorder="1" applyAlignment="1">
      <alignment horizontal="right" vertical="center"/>
    </xf>
    <xf numFmtId="10" fontId="6" fillId="0" borderId="14" xfId="0" applyNumberFormat="1" applyFont="1" applyFill="1" applyBorder="1" applyAlignment="1">
      <alignment vertical="center"/>
    </xf>
    <xf numFmtId="10" fontId="6" fillId="0" borderId="22" xfId="0" applyNumberFormat="1" applyFont="1" applyFill="1" applyBorder="1" applyAlignment="1">
      <alignment vertical="center"/>
    </xf>
    <xf numFmtId="10" fontId="9" fillId="0" borderId="15" xfId="0" applyNumberFormat="1" applyFont="1" applyFill="1" applyBorder="1" applyAlignment="1">
      <alignment horizontal="right" vertical="center" wrapText="1"/>
    </xf>
    <xf numFmtId="10" fontId="46" fillId="0" borderId="4" xfId="0" applyNumberFormat="1" applyFont="1" applyFill="1" applyBorder="1" applyAlignment="1">
      <alignment horizontal="right" vertical="center" wrapText="1"/>
    </xf>
    <xf numFmtId="10" fontId="9" fillId="0" borderId="15" xfId="2" applyNumberFormat="1" applyFont="1" applyFill="1" applyBorder="1" applyAlignment="1">
      <alignment horizontal="right" vertical="center" wrapText="1"/>
    </xf>
    <xf numFmtId="10" fontId="0" fillId="0" borderId="15" xfId="2" applyNumberFormat="1" applyFont="1" applyFill="1" applyBorder="1"/>
    <xf numFmtId="10" fontId="0" fillId="0" borderId="15" xfId="0" applyNumberFormat="1" applyFill="1" applyBorder="1"/>
    <xf numFmtId="10" fontId="9" fillId="0" borderId="15" xfId="2" applyNumberFormat="1" applyFont="1" applyFill="1" applyBorder="1" applyAlignment="1">
      <alignment horizontal="right" vertical="center"/>
    </xf>
    <xf numFmtId="3" fontId="19" fillId="0" borderId="15" xfId="0" applyNumberFormat="1" applyFont="1" applyFill="1" applyBorder="1" applyAlignment="1">
      <alignment vertical="center" wrapText="1"/>
    </xf>
    <xf numFmtId="3" fontId="1" fillId="0" borderId="4" xfId="0" applyNumberFormat="1" applyFont="1" applyFill="1" applyBorder="1" applyAlignment="1">
      <alignment horizontal="right" vertical="center" wrapText="1"/>
    </xf>
    <xf numFmtId="3" fontId="19" fillId="0" borderId="4" xfId="0" applyNumberFormat="1" applyFont="1" applyFill="1" applyBorder="1" applyAlignment="1">
      <alignment horizontal="right" vertical="center" wrapText="1"/>
    </xf>
    <xf numFmtId="10" fontId="0" fillId="0" borderId="0" xfId="0" applyNumberFormat="1"/>
    <xf numFmtId="10" fontId="9" fillId="0" borderId="14" xfId="0" applyNumberFormat="1" applyFont="1" applyFill="1" applyBorder="1" applyAlignment="1">
      <alignment vertical="center" wrapText="1"/>
    </xf>
    <xf numFmtId="0" fontId="14" fillId="0" borderId="0" xfId="0" applyFont="1" applyAlignment="1">
      <alignment horizontal="center"/>
    </xf>
  </cellXfs>
  <cellStyles count="547">
    <cellStyle name="20% - Accent1" xfId="519" builtinId="30" customBuiltin="1"/>
    <cellStyle name="20% - Accent2" xfId="522" builtinId="34" customBuiltin="1"/>
    <cellStyle name="20% - Accent3" xfId="525" builtinId="38" customBuiltin="1"/>
    <cellStyle name="20% - Accent4" xfId="528" builtinId="42" customBuiltin="1"/>
    <cellStyle name="20% - Accent5" xfId="531" builtinId="46" customBuiltin="1"/>
    <cellStyle name="20% - Accent6" xfId="534" builtinId="50" customBuiltin="1"/>
    <cellStyle name="40% - Accent1" xfId="520" builtinId="31" customBuiltin="1"/>
    <cellStyle name="40% - Accent2" xfId="523" builtinId="35" customBuiltin="1"/>
    <cellStyle name="40% - Accent3" xfId="526" builtinId="39" customBuiltin="1"/>
    <cellStyle name="40% - Accent4" xfId="529" builtinId="43" customBuiltin="1"/>
    <cellStyle name="40% - Accent5" xfId="532" builtinId="47" customBuiltin="1"/>
    <cellStyle name="40% - Accent6" xfId="535" builtinId="51" customBuiltin="1"/>
    <cellStyle name="60% - Accent1 2" xfId="541" xr:uid="{00000000-0005-0000-0000-000031000000}"/>
    <cellStyle name="60% - Accent2 2" xfId="542" xr:uid="{00000000-0005-0000-0000-000032000000}"/>
    <cellStyle name="60% - Accent3 2" xfId="543" xr:uid="{00000000-0005-0000-0000-000033000000}"/>
    <cellStyle name="60% - Accent4 2" xfId="544" xr:uid="{00000000-0005-0000-0000-000034000000}"/>
    <cellStyle name="60% - Accent5 2" xfId="545" xr:uid="{00000000-0005-0000-0000-000035000000}"/>
    <cellStyle name="60% - Accent6 2" xfId="546" xr:uid="{00000000-0005-0000-0000-000036000000}"/>
    <cellStyle name="Accent1" xfId="518" builtinId="29" customBuiltin="1"/>
    <cellStyle name="Accent2" xfId="521" builtinId="33" customBuiltin="1"/>
    <cellStyle name="Accent3" xfId="524" builtinId="37" customBuiltin="1"/>
    <cellStyle name="Accent4" xfId="527" builtinId="41" customBuiltin="1"/>
    <cellStyle name="Accent5" xfId="530" builtinId="45" customBuiltin="1"/>
    <cellStyle name="Accent6" xfId="533" builtinId="49" customBuiltin="1"/>
    <cellStyle name="Bad" xfId="508" builtinId="27" customBuiltin="1"/>
    <cellStyle name="Calculation" xfId="511" builtinId="22" customBuiltin="1"/>
    <cellStyle name="Check Cell" xfId="513" builtinId="23" customBuiltin="1"/>
    <cellStyle name="Comma" xfId="1" builtinId="3"/>
    <cellStyle name="Comma 2" xfId="538" xr:uid="{00000000-0005-0000-0000-00002F000000}"/>
    <cellStyle name="Comma 3" xfId="536" xr:uid="{00000000-0005-0000-0000-000029020000}"/>
    <cellStyle name="Explanatory Text" xfId="516" builtinId="53" customBuilti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Good" xfId="507" builtinId="26" customBuiltin="1"/>
    <cellStyle name="Heading 1" xfId="503" builtinId="16" customBuiltin="1"/>
    <cellStyle name="Heading 2" xfId="504" builtinId="17" customBuiltin="1"/>
    <cellStyle name="Heading 3" xfId="505" builtinId="18" customBuiltin="1"/>
    <cellStyle name="Heading 4" xfId="506" builtinId="19" customBuilti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Input" xfId="509" builtinId="20" customBuiltin="1"/>
    <cellStyle name="Linked Cell" xfId="512" builtinId="24" customBuiltin="1"/>
    <cellStyle name="Neutral 2" xfId="540" xr:uid="{00000000-0005-0000-0000-000037000000}"/>
    <cellStyle name="Normal" xfId="0" builtinId="0"/>
    <cellStyle name="Normal 2" xfId="537" xr:uid="{00000000-0005-0000-0000-000002000000}"/>
    <cellStyle name="Note" xfId="515" builtinId="10" customBuiltin="1"/>
    <cellStyle name="Output" xfId="510" builtinId="21" customBuiltin="1"/>
    <cellStyle name="Percent" xfId="2" builtinId="5"/>
    <cellStyle name="Title 2" xfId="539" xr:uid="{00000000-0005-0000-0000-000038000000}"/>
    <cellStyle name="Total" xfId="517" builtinId="25" customBuiltin="1"/>
    <cellStyle name="Warning Text" xfId="514" builtinId="11" customBuiltin="1"/>
  </cellStyles>
  <dxfs count="0"/>
  <tableStyles count="0" defaultTableStyle="TableStyleMedium9" defaultPivotStyle="PivotStyleLight16"/>
  <colors>
    <mruColors>
      <color rgb="FF4BAC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2000" b="1">
                <a:solidFill>
                  <a:schemeClr val="tx1"/>
                </a:solidFill>
              </a:rPr>
              <a:t>Figure 1. Change</a:t>
            </a:r>
            <a:r>
              <a:rPr lang="en-US" sz="2000" b="1" baseline="0">
                <a:solidFill>
                  <a:schemeClr val="tx1"/>
                </a:solidFill>
              </a:rPr>
              <a:t> in Proportion of Students in FI vs Percentage Change in Total Enrolment for BC SDs (2017/18 - 2018/19, 2 years). Outliers removed</a:t>
            </a:r>
            <a:endParaRPr lang="en-US" sz="20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% Change in FI enrolment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20"/>
            <c:marker>
              <c:symbol val="circle"/>
              <c:size val="10"/>
              <c:spPr>
                <a:solidFill>
                  <a:schemeClr val="accent1"/>
                </a:solidFill>
                <a:ln w="12700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E1CE-854E-8522-3F59609F4872}"/>
              </c:ext>
            </c:extLst>
          </c:dPt>
          <c:xVal>
            <c:numRef>
              <c:f>'2018-2019'!$L$4:$L$63</c:f>
              <c:numCache>
                <c:formatCode>0.00%</c:formatCode>
                <c:ptCount val="60"/>
                <c:pt idx="0">
                  <c:v>1.0183809234669692E-2</c:v>
                </c:pt>
                <c:pt idx="1">
                  <c:v>1.5927601809954752E-2</c:v>
                </c:pt>
                <c:pt idx="2">
                  <c:v>5.4170514004309021E-2</c:v>
                </c:pt>
                <c:pt idx="3">
                  <c:v>-5.0220972278023305E-3</c:v>
                </c:pt>
                <c:pt idx="6">
                  <c:v>3.0318870883429168E-2</c:v>
                </c:pt>
                <c:pt idx="7">
                  <c:v>4.0607959159995356E-3</c:v>
                </c:pt>
                <c:pt idx="8">
                  <c:v>1.6089385474860336E-2</c:v>
                </c:pt>
                <c:pt idx="9">
                  <c:v>1.0008517887563885E-2</c:v>
                </c:pt>
                <c:pt idx="10">
                  <c:v>-2.6926960619320095E-3</c:v>
                </c:pt>
                <c:pt idx="11">
                  <c:v>2.2003813994425701E-3</c:v>
                </c:pt>
                <c:pt idx="12">
                  <c:v>1.6527228866191037E-2</c:v>
                </c:pt>
                <c:pt idx="13">
                  <c:v>1.3429563310798465E-2</c:v>
                </c:pt>
                <c:pt idx="14">
                  <c:v>1.1774889395729713E-2</c:v>
                </c:pt>
                <c:pt idx="15">
                  <c:v>2.1832736976165929E-3</c:v>
                </c:pt>
                <c:pt idx="16">
                  <c:v>5.0347638456005751E-3</c:v>
                </c:pt>
                <c:pt idx="17">
                  <c:v>2.3218915676637901E-3</c:v>
                </c:pt>
                <c:pt idx="18">
                  <c:v>-9.7736625514403298E-3</c:v>
                </c:pt>
                <c:pt idx="19">
                  <c:v>-3.1787143866258537E-3</c:v>
                </c:pt>
                <c:pt idx="20">
                  <c:v>1.4594666312856575E-2</c:v>
                </c:pt>
                <c:pt idx="21">
                  <c:v>4.0112193503634222E-3</c:v>
                </c:pt>
                <c:pt idx="22">
                  <c:v>-2.5009378516943855E-3</c:v>
                </c:pt>
                <c:pt idx="23">
                  <c:v>-1.4980253302464932E-3</c:v>
                </c:pt>
                <c:pt idx="25">
                  <c:v>3.7607612143180785E-2</c:v>
                </c:pt>
                <c:pt idx="26">
                  <c:v>2.476532854004394E-2</c:v>
                </c:pt>
                <c:pt idx="28">
                  <c:v>-0.125</c:v>
                </c:pt>
                <c:pt idx="30">
                  <c:v>-1.0085728693898134E-2</c:v>
                </c:pt>
                <c:pt idx="31">
                  <c:v>3.3347584437793926E-2</c:v>
                </c:pt>
                <c:pt idx="32">
                  <c:v>-8.5728693898134145E-3</c:v>
                </c:pt>
                <c:pt idx="33">
                  <c:v>3.8519637462235651E-3</c:v>
                </c:pt>
                <c:pt idx="34">
                  <c:v>3.2059727711901624E-2</c:v>
                </c:pt>
                <c:pt idx="35">
                  <c:v>2.7809633027522936E-2</c:v>
                </c:pt>
                <c:pt idx="36">
                  <c:v>6.2902972165434813E-3</c:v>
                </c:pt>
                <c:pt idx="37">
                  <c:v>7.1707630680975225E-3</c:v>
                </c:pt>
                <c:pt idx="38">
                  <c:v>3.5578833303232797E-2</c:v>
                </c:pt>
                <c:pt idx="39">
                  <c:v>2.1679895746949413E-2</c:v>
                </c:pt>
                <c:pt idx="40">
                  <c:v>1.6968325791855202E-2</c:v>
                </c:pt>
                <c:pt idx="41">
                  <c:v>7.9214740830032722E-3</c:v>
                </c:pt>
                <c:pt idx="42">
                  <c:v>1.8973214285714284E-2</c:v>
                </c:pt>
                <c:pt idx="43">
                  <c:v>1.7690875232774673E-2</c:v>
                </c:pt>
                <c:pt idx="44">
                  <c:v>-1.5012722646310433E-2</c:v>
                </c:pt>
                <c:pt idx="45">
                  <c:v>3.7953236191121655E-2</c:v>
                </c:pt>
                <c:pt idx="46">
                  <c:v>1.8195460513974863E-2</c:v>
                </c:pt>
                <c:pt idx="47">
                  <c:v>2.4684623252642347E-2</c:v>
                </c:pt>
                <c:pt idx="49">
                  <c:v>-2.6984126984126986E-3</c:v>
                </c:pt>
                <c:pt idx="51">
                  <c:v>3.1394045097794941E-2</c:v>
                </c:pt>
                <c:pt idx="53">
                  <c:v>2.0278236265031831E-2</c:v>
                </c:pt>
                <c:pt idx="54">
                  <c:v>2.7473426001635323E-2</c:v>
                </c:pt>
                <c:pt idx="58">
                  <c:v>5.9880239520958087E-3</c:v>
                </c:pt>
              </c:numCache>
            </c:numRef>
          </c:xVal>
          <c:yVal>
            <c:numRef>
              <c:f>'2018-2019'!$S$4:$S$63</c:f>
              <c:numCache>
                <c:formatCode>0.00%</c:formatCode>
                <c:ptCount val="60"/>
                <c:pt idx="0">
                  <c:v>-6.4503516862157717E-5</c:v>
                </c:pt>
                <c:pt idx="1">
                  <c:v>4.3241892407170496E-3</c:v>
                </c:pt>
                <c:pt idx="2">
                  <c:v>2.9937566415719138E-3</c:v>
                </c:pt>
                <c:pt idx="3">
                  <c:v>7.1868817182844935E-5</c:v>
                </c:pt>
                <c:pt idx="6">
                  <c:v>-1.4122841844486825E-2</c:v>
                </c:pt>
                <c:pt idx="7">
                  <c:v>3.6978729226813667E-4</c:v>
                </c:pt>
                <c:pt idx="8">
                  <c:v>9.0688808263290899E-4</c:v>
                </c:pt>
                <c:pt idx="9">
                  <c:v>2.7612646054923223E-3</c:v>
                </c:pt>
                <c:pt idx="10">
                  <c:v>-2.179806983311397E-3</c:v>
                </c:pt>
                <c:pt idx="11">
                  <c:v>2.679900503597045E-3</c:v>
                </c:pt>
                <c:pt idx="12">
                  <c:v>-7.1762663954358374E-4</c:v>
                </c:pt>
                <c:pt idx="13">
                  <c:v>-1.0286683244721262E-3</c:v>
                </c:pt>
                <c:pt idx="14">
                  <c:v>-6.9653227657780897E-4</c:v>
                </c:pt>
                <c:pt idx="15">
                  <c:v>2.0966143568503792E-3</c:v>
                </c:pt>
                <c:pt idx="16">
                  <c:v>-5.0885247281758084E-4</c:v>
                </c:pt>
                <c:pt idx="17">
                  <c:v>-1.2374815787466048E-3</c:v>
                </c:pt>
                <c:pt idx="18">
                  <c:v>2.9550798995243432E-3</c:v>
                </c:pt>
                <c:pt idx="19">
                  <c:v>-1.1738162074810266E-3</c:v>
                </c:pt>
                <c:pt idx="20">
                  <c:v>9.0099947013504156E-4</c:v>
                </c:pt>
                <c:pt idx="21">
                  <c:v>-2.7893166143582726E-3</c:v>
                </c:pt>
                <c:pt idx="22">
                  <c:v>3.2750309446774595E-3</c:v>
                </c:pt>
                <c:pt idx="23">
                  <c:v>-1.5605637829437524E-3</c:v>
                </c:pt>
                <c:pt idx="25">
                  <c:v>9.315338452680344E-4</c:v>
                </c:pt>
                <c:pt idx="26">
                  <c:v>5.9378184126319677E-3</c:v>
                </c:pt>
                <c:pt idx="28">
                  <c:v>-1.1554621848739496E-2</c:v>
                </c:pt>
                <c:pt idx="30">
                  <c:v>5.2160121090399358E-3</c:v>
                </c:pt>
                <c:pt idx="31">
                  <c:v>-3.2410796900888906E-3</c:v>
                </c:pt>
                <c:pt idx="32">
                  <c:v>3.024179585479625E-4</c:v>
                </c:pt>
                <c:pt idx="33">
                  <c:v>1.704535768133314E-3</c:v>
                </c:pt>
                <c:pt idx="34">
                  <c:v>2.0930862743999412E-4</c:v>
                </c:pt>
                <c:pt idx="35">
                  <c:v>-1.0819482297544564E-2</c:v>
                </c:pt>
                <c:pt idx="36">
                  <c:v>2.4305476453765629E-3</c:v>
                </c:pt>
                <c:pt idx="37">
                  <c:v>-1.340145725391706E-4</c:v>
                </c:pt>
                <c:pt idx="38">
                  <c:v>8.4786500479794302E-4</c:v>
                </c:pt>
                <c:pt idx="39">
                  <c:v>-1.828857249677393E-3</c:v>
                </c:pt>
                <c:pt idx="40">
                  <c:v>1.5363979081835524E-2</c:v>
                </c:pt>
                <c:pt idx="41">
                  <c:v>-1.5685364856115047E-3</c:v>
                </c:pt>
                <c:pt idx="42">
                  <c:v>-1.0175136422312658E-3</c:v>
                </c:pt>
                <c:pt idx="43">
                  <c:v>2.6503941622752492E-3</c:v>
                </c:pt>
                <c:pt idx="44">
                  <c:v>4.5426847906038514E-3</c:v>
                </c:pt>
                <c:pt idx="45">
                  <c:v>-3.3983068539325534E-3</c:v>
                </c:pt>
                <c:pt idx="46">
                  <c:v>-7.13354419382356E-3</c:v>
                </c:pt>
                <c:pt idx="47">
                  <c:v>-8.0623147456070077E-4</c:v>
                </c:pt>
                <c:pt idx="49">
                  <c:v>4.6694911186396099E-3</c:v>
                </c:pt>
                <c:pt idx="51">
                  <c:v>-1.8599655201020082E-3</c:v>
                </c:pt>
                <c:pt idx="53">
                  <c:v>6.1283408408141504E-4</c:v>
                </c:pt>
                <c:pt idx="54">
                  <c:v>-1.0882432823376129E-2</c:v>
                </c:pt>
                <c:pt idx="58">
                  <c:v>1.2646664343271136E-3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1CE-854E-8522-3F59609F48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3584720"/>
        <c:axId val="463894352"/>
      </c:scatterChart>
      <c:valAx>
        <c:axId val="463584720"/>
        <c:scaling>
          <c:orientation val="minMax"/>
          <c:max val="4.0000000000000008E-2"/>
          <c:min val="-4.0000000000000008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="0">
                    <a:solidFill>
                      <a:schemeClr val="tx1"/>
                    </a:solidFill>
                  </a:rPr>
                  <a:t>Change in Total Enrolment Compared</a:t>
                </a:r>
                <a:r>
                  <a:rPr lang="en-US" sz="2000" b="0" baseline="0">
                    <a:solidFill>
                      <a:schemeClr val="tx1"/>
                    </a:solidFill>
                  </a:rPr>
                  <a:t> to Previous Year</a:t>
                </a:r>
                <a:endParaRPr lang="en-US" sz="2000" b="0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3894352"/>
        <c:crosses val="autoZero"/>
        <c:crossBetween val="midCat"/>
      </c:valAx>
      <c:valAx>
        <c:axId val="463894352"/>
        <c:scaling>
          <c:orientation val="minMax"/>
          <c:min val="-1.000000000000000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="0">
                    <a:solidFill>
                      <a:schemeClr val="tx1"/>
                    </a:solidFill>
                  </a:rPr>
                  <a:t>Change</a:t>
                </a:r>
                <a:r>
                  <a:rPr lang="en-US" sz="2000" b="0" baseline="0">
                    <a:solidFill>
                      <a:schemeClr val="tx1"/>
                    </a:solidFill>
                  </a:rPr>
                  <a:t> in Proportion of Students in FI Compared to Previous Year</a:t>
                </a:r>
                <a:endParaRPr lang="en-US" sz="2000" b="0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low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3584720"/>
        <c:crosses val="autoZero"/>
        <c:crossBetween val="midCat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2000" b="1">
                <a:solidFill>
                  <a:schemeClr val="tx1"/>
                </a:solidFill>
              </a:rPr>
              <a:t>Figure</a:t>
            </a:r>
            <a:r>
              <a:rPr lang="en-US" sz="2000" b="1" baseline="0">
                <a:solidFill>
                  <a:schemeClr val="tx1"/>
                </a:solidFill>
              </a:rPr>
              <a:t> 2. Change in Proportion of Students in FI vs Percentage Change in Total Enrolment for BC SDs (2014/15 - 2019/20, 6 years). Outliers removed.</a:t>
            </a:r>
            <a:endParaRPr lang="en-US" sz="20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% Change Students in FI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'2019-2020'!$N$4:$N$63</c:f>
              <c:numCache>
                <c:formatCode>0.00%</c:formatCode>
                <c:ptCount val="60"/>
                <c:pt idx="0">
                  <c:v>4.1960028075862715E-2</c:v>
                </c:pt>
                <c:pt idx="1">
                  <c:v>8.1690674753601214E-2</c:v>
                </c:pt>
                <c:pt idx="2">
                  <c:v>0.10090264345583494</c:v>
                </c:pt>
                <c:pt idx="3">
                  <c:v>-2.7341477603257707E-2</c:v>
                </c:pt>
                <c:pt idx="6">
                  <c:v>8.7954110898661564E-2</c:v>
                </c:pt>
                <c:pt idx="7">
                  <c:v>6.6456463739995156E-2</c:v>
                </c:pt>
                <c:pt idx="8">
                  <c:v>8.8244947718854036E-2</c:v>
                </c:pt>
                <c:pt idx="9">
                  <c:v>8.6188321482439127E-4</c:v>
                </c:pt>
                <c:pt idx="10">
                  <c:v>-1.772816808929744E-2</c:v>
                </c:pt>
                <c:pt idx="11">
                  <c:v>5.8497109826589594E-2</c:v>
                </c:pt>
                <c:pt idx="12">
                  <c:v>4.711797636325938E-2</c:v>
                </c:pt>
                <c:pt idx="13">
                  <c:v>0.11121560087111464</c:v>
                </c:pt>
                <c:pt idx="14">
                  <c:v>6.8395393202854524E-2</c:v>
                </c:pt>
                <c:pt idx="15">
                  <c:v>4.3997997246213547E-2</c:v>
                </c:pt>
                <c:pt idx="16">
                  <c:v>-9.9037784557615589E-3</c:v>
                </c:pt>
                <c:pt idx="17">
                  <c:v>-4.7514767854842571E-2</c:v>
                </c:pt>
                <c:pt idx="18">
                  <c:v>3.8829715518403668E-2</c:v>
                </c:pt>
                <c:pt idx="19">
                  <c:v>5.1993697733608048E-2</c:v>
                </c:pt>
                <c:pt idx="20">
                  <c:v>6.9436775262286032E-2</c:v>
                </c:pt>
                <c:pt idx="21">
                  <c:v>8.0255853246439784E-3</c:v>
                </c:pt>
                <c:pt idx="22">
                  <c:v>2.3935500125976318E-2</c:v>
                </c:pt>
                <c:pt idx="23">
                  <c:v>1.6923500275178867E-2</c:v>
                </c:pt>
                <c:pt idx="25">
                  <c:v>0.32355723746452225</c:v>
                </c:pt>
                <c:pt idx="26">
                  <c:v>0.13337684943429068</c:v>
                </c:pt>
                <c:pt idx="28">
                  <c:v>-0.17198581560283688</c:v>
                </c:pt>
                <c:pt idx="30">
                  <c:v>-6.0503388189738626E-2</c:v>
                </c:pt>
                <c:pt idx="31">
                  <c:v>-1.0642652476463364E-2</c:v>
                </c:pt>
                <c:pt idx="32">
                  <c:v>-5.8880308880308881E-2</c:v>
                </c:pt>
                <c:pt idx="33">
                  <c:v>2.9810298102981029E-2</c:v>
                </c:pt>
                <c:pt idx="34">
                  <c:v>-4.6725073007926575E-2</c:v>
                </c:pt>
                <c:pt idx="35">
                  <c:v>4.2285714285714288E-2</c:v>
                </c:pt>
                <c:pt idx="36">
                  <c:v>6.9801980198019808E-2</c:v>
                </c:pt>
                <c:pt idx="37">
                  <c:v>4.9319553872915173E-2</c:v>
                </c:pt>
                <c:pt idx="38">
                  <c:v>0.19043256997455471</c:v>
                </c:pt>
                <c:pt idx="39">
                  <c:v>-1.9379422972237343E-2</c:v>
                </c:pt>
                <c:pt idx="40">
                  <c:v>-9.9708454810495631E-2</c:v>
                </c:pt>
                <c:pt idx="41">
                  <c:v>1.3896126454750739E-3</c:v>
                </c:pt>
                <c:pt idx="42">
                  <c:v>7.8640210096294141E-2</c:v>
                </c:pt>
                <c:pt idx="43">
                  <c:v>7.0051257017329754E-2</c:v>
                </c:pt>
                <c:pt idx="44">
                  <c:v>2.4973432518597238E-2</c:v>
                </c:pt>
                <c:pt idx="45">
                  <c:v>0.11329533558217983</c:v>
                </c:pt>
                <c:pt idx="46">
                  <c:v>5.7632999228989977E-2</c:v>
                </c:pt>
                <c:pt idx="47">
                  <c:v>5.7501378929950359E-2</c:v>
                </c:pt>
                <c:pt idx="49">
                  <c:v>6.9588491134158575E-2</c:v>
                </c:pt>
                <c:pt idx="51">
                  <c:v>9.5030974034532756E-2</c:v>
                </c:pt>
                <c:pt idx="53">
                  <c:v>-8.829654310703873E-2</c:v>
                </c:pt>
                <c:pt idx="54">
                  <c:v>9.9518734960467509E-2</c:v>
                </c:pt>
                <c:pt idx="58">
                  <c:v>-6.9568928723858295E-2</c:v>
                </c:pt>
              </c:numCache>
            </c:numRef>
          </c:xVal>
          <c:yVal>
            <c:numRef>
              <c:f>'2019-2020'!$U$4:$U$63</c:f>
              <c:numCache>
                <c:formatCode>0.00%</c:formatCode>
                <c:ptCount val="60"/>
                <c:pt idx="0">
                  <c:v>3.4672462686563682E-3</c:v>
                </c:pt>
                <c:pt idx="1">
                  <c:v>1.5347059919896724E-2</c:v>
                </c:pt>
                <c:pt idx="2">
                  <c:v>9.454250929594378E-3</c:v>
                </c:pt>
                <c:pt idx="3">
                  <c:v>1.2723682122965652E-3</c:v>
                </c:pt>
                <c:pt idx="6">
                  <c:v>4.4025540670219368E-2</c:v>
                </c:pt>
                <c:pt idx="7">
                  <c:v>3.5203593656976673E-3</c:v>
                </c:pt>
                <c:pt idx="8">
                  <c:v>1.0888589523602651E-2</c:v>
                </c:pt>
                <c:pt idx="9">
                  <c:v>2.1902502824430264E-2</c:v>
                </c:pt>
                <c:pt idx="10">
                  <c:v>5.4707058612855908E-3</c:v>
                </c:pt>
                <c:pt idx="11">
                  <c:v>1.2372719995353505E-2</c:v>
                </c:pt>
                <c:pt idx="12">
                  <c:v>-1.1713222400998868E-3</c:v>
                </c:pt>
                <c:pt idx="13">
                  <c:v>-6.7918628148865845E-3</c:v>
                </c:pt>
                <c:pt idx="14">
                  <c:v>-4.8357031278616833E-3</c:v>
                </c:pt>
                <c:pt idx="15">
                  <c:v>-5.1593969404111761E-3</c:v>
                </c:pt>
                <c:pt idx="16">
                  <c:v>6.4157115965555317E-3</c:v>
                </c:pt>
                <c:pt idx="17">
                  <c:v>1.0421231857319246E-2</c:v>
                </c:pt>
                <c:pt idx="18">
                  <c:v>-1.5844828124736143E-3</c:v>
                </c:pt>
                <c:pt idx="19">
                  <c:v>-5.2854832472943175E-3</c:v>
                </c:pt>
                <c:pt idx="20">
                  <c:v>6.2450743299075073E-3</c:v>
                </c:pt>
                <c:pt idx="21">
                  <c:v>5.5256003155089439E-3</c:v>
                </c:pt>
                <c:pt idx="22">
                  <c:v>1.821526401461715E-3</c:v>
                </c:pt>
                <c:pt idx="23">
                  <c:v>6.415230649482434E-3</c:v>
                </c:pt>
                <c:pt idx="25">
                  <c:v>2.3692419845774415E-2</c:v>
                </c:pt>
                <c:pt idx="26">
                  <c:v>6.5266131574845121E-2</c:v>
                </c:pt>
                <c:pt idx="28">
                  <c:v>-5.8510638297872342E-2</c:v>
                </c:pt>
                <c:pt idx="30">
                  <c:v>3.5539958295366755E-2</c:v>
                </c:pt>
                <c:pt idx="32">
                  <c:v>-4.398574398574398E-3</c:v>
                </c:pt>
                <c:pt idx="33">
                  <c:v>1.1215029443527522E-2</c:v>
                </c:pt>
                <c:pt idx="34">
                  <c:v>1.6879414366426301E-2</c:v>
                </c:pt>
                <c:pt idx="35">
                  <c:v>-2.8813283208020055E-2</c:v>
                </c:pt>
                <c:pt idx="36">
                  <c:v>5.8704181385283369E-3</c:v>
                </c:pt>
                <c:pt idx="37">
                  <c:v>2.2697884593634865E-3</c:v>
                </c:pt>
                <c:pt idx="38">
                  <c:v>1.4872930176863919E-2</c:v>
                </c:pt>
                <c:pt idx="39">
                  <c:v>1.0158723098027123E-2</c:v>
                </c:pt>
                <c:pt idx="40">
                  <c:v>-2.9475520778259462E-3</c:v>
                </c:pt>
                <c:pt idx="41">
                  <c:v>-8.1387551728195201E-3</c:v>
                </c:pt>
                <c:pt idx="42">
                  <c:v>5.6912821934139018E-3</c:v>
                </c:pt>
                <c:pt idx="43">
                  <c:v>1.2012027226615887E-2</c:v>
                </c:pt>
                <c:pt idx="44">
                  <c:v>-3.8852703492583962E-3</c:v>
                </c:pt>
                <c:pt idx="45">
                  <c:v>-4.465867439330834E-3</c:v>
                </c:pt>
                <c:pt idx="46">
                  <c:v>4.50704328265078E-4</c:v>
                </c:pt>
                <c:pt idx="47">
                  <c:v>3.9665138485994733E-5</c:v>
                </c:pt>
                <c:pt idx="49">
                  <c:v>5.3851401547096861E-3</c:v>
                </c:pt>
                <c:pt idx="51">
                  <c:v>-3.7072605822530691E-3</c:v>
                </c:pt>
                <c:pt idx="53">
                  <c:v>2.3337790006410078E-2</c:v>
                </c:pt>
                <c:pt idx="54">
                  <c:v>-1.3011749824935664E-2</c:v>
                </c:pt>
                <c:pt idx="58">
                  <c:v>3.0935403916409268E-3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A0-4BC2-A98F-96E22A501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4298864"/>
        <c:axId val="443948640"/>
      </c:scatterChart>
      <c:valAx>
        <c:axId val="444298864"/>
        <c:scaling>
          <c:orientation val="minMax"/>
          <c:max val="0.15000000000000002"/>
          <c:min val="-0.1500000000000000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>
                    <a:solidFill>
                      <a:schemeClr val="tx1"/>
                    </a:solidFill>
                  </a:rPr>
                  <a:t>Change</a:t>
                </a:r>
                <a:r>
                  <a:rPr lang="en-US" sz="1800" b="1" baseline="0">
                    <a:solidFill>
                      <a:schemeClr val="tx1"/>
                    </a:solidFill>
                  </a:rPr>
                  <a:t> in Total Enrolment Compared to 5 Years Ago</a:t>
                </a:r>
                <a:endParaRPr lang="en-US" sz="1800" b="1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3948640"/>
        <c:crosses val="autoZero"/>
        <c:crossBetween val="midCat"/>
      </c:valAx>
      <c:valAx>
        <c:axId val="443948640"/>
        <c:scaling>
          <c:orientation val="minMax"/>
          <c:min val="-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>
                    <a:solidFill>
                      <a:schemeClr val="tx1"/>
                    </a:solidFill>
                  </a:rPr>
                  <a:t>Change</a:t>
                </a:r>
                <a:r>
                  <a:rPr lang="en-US" sz="1800" b="1" baseline="0">
                    <a:solidFill>
                      <a:schemeClr val="tx1"/>
                    </a:solidFill>
                  </a:rPr>
                  <a:t> in Proportions of Students in FI Compared to 5 Years Ago</a:t>
                </a:r>
                <a:endParaRPr lang="en-US" sz="1800" b="1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low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2988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2000" b="1">
                <a:solidFill>
                  <a:schemeClr val="tx1"/>
                </a:solidFill>
              </a:rPr>
              <a:t>Figure</a:t>
            </a:r>
            <a:r>
              <a:rPr lang="en-US" sz="2000" b="1" baseline="0">
                <a:solidFill>
                  <a:schemeClr val="tx1"/>
                </a:solidFill>
              </a:rPr>
              <a:t> 3. Change in Proportion of Students in FI vs Percentage change in Total Enrolment fo BC SDs (2009/10 - 2019/20, 11 years). Outliers removed</a:t>
            </a:r>
            <a:endParaRPr lang="en-US" sz="20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% Change of Students in FI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'2019-2020'!$P$4:$P$63</c:f>
              <c:numCache>
                <c:formatCode>0.00%</c:formatCode>
                <c:ptCount val="60"/>
                <c:pt idx="0">
                  <c:v>-7.7521650074162379E-3</c:v>
                </c:pt>
                <c:pt idx="1">
                  <c:v>6.1175158051320191E-2</c:v>
                </c:pt>
                <c:pt idx="2">
                  <c:v>2.86144578313253E-2</c:v>
                </c:pt>
                <c:pt idx="3">
                  <c:v>-8.1318681318681321E-2</c:v>
                </c:pt>
                <c:pt idx="6">
                  <c:v>-3.1371595330739299E-2</c:v>
                </c:pt>
                <c:pt idx="7">
                  <c:v>4.7989031078610606E-3</c:v>
                </c:pt>
                <c:pt idx="8">
                  <c:v>6.355971038401613E-2</c:v>
                </c:pt>
                <c:pt idx="9">
                  <c:v>-0.23286540049545829</c:v>
                </c:pt>
                <c:pt idx="10">
                  <c:v>-0.24482584553255932</c:v>
                </c:pt>
                <c:pt idx="11">
                  <c:v>-2.0259666143529746E-2</c:v>
                </c:pt>
                <c:pt idx="12">
                  <c:v>3.5470808344866475E-2</c:v>
                </c:pt>
                <c:pt idx="13">
                  <c:v>0.13457651101677784</c:v>
                </c:pt>
                <c:pt idx="14">
                  <c:v>9.3996440405735862E-2</c:v>
                </c:pt>
                <c:pt idx="15">
                  <c:v>-6.7877344447752307E-3</c:v>
                </c:pt>
                <c:pt idx="16">
                  <c:v>-8.1711723477428055E-2</c:v>
                </c:pt>
                <c:pt idx="17">
                  <c:v>-0.13703357897895896</c:v>
                </c:pt>
                <c:pt idx="18">
                  <c:v>8.0948372615039288E-2</c:v>
                </c:pt>
                <c:pt idx="19">
                  <c:v>1.0712622263623661E-2</c:v>
                </c:pt>
                <c:pt idx="20">
                  <c:v>-9.6718034689535109E-4</c:v>
                </c:pt>
                <c:pt idx="21">
                  <c:v>2.5224008837608936E-2</c:v>
                </c:pt>
                <c:pt idx="22">
                  <c:v>-2.6878180185573183E-2</c:v>
                </c:pt>
                <c:pt idx="23">
                  <c:v>6.8063583815028902E-2</c:v>
                </c:pt>
                <c:pt idx="25">
                  <c:v>0.18861512319456245</c:v>
                </c:pt>
                <c:pt idx="26">
                  <c:v>0.23729216152019003</c:v>
                </c:pt>
                <c:pt idx="28">
                  <c:v>-0.3477653631284916</c:v>
                </c:pt>
                <c:pt idx="30">
                  <c:v>-0.19125</c:v>
                </c:pt>
                <c:pt idx="31">
                  <c:v>-0.16163718348942074</c:v>
                </c:pt>
                <c:pt idx="32">
                  <c:v>-0.20016406890894176</c:v>
                </c:pt>
                <c:pt idx="33">
                  <c:v>-7.8181314111449962E-2</c:v>
                </c:pt>
                <c:pt idx="34">
                  <c:v>-0.15775893844452635</c:v>
                </c:pt>
                <c:pt idx="35">
                  <c:v>-0.11692084241103849</c:v>
                </c:pt>
                <c:pt idx="36">
                  <c:v>7.1216126900198282E-2</c:v>
                </c:pt>
                <c:pt idx="37">
                  <c:v>1.5626526027932416E-3</c:v>
                </c:pt>
                <c:pt idx="38">
                  <c:v>0.26197669400086321</c:v>
                </c:pt>
                <c:pt idx="39">
                  <c:v>-7.1443298969072158E-2</c:v>
                </c:pt>
                <c:pt idx="40">
                  <c:v>-3.0759573132454487E-2</c:v>
                </c:pt>
                <c:pt idx="41">
                  <c:v>-0.12172455819622181</c:v>
                </c:pt>
                <c:pt idx="42">
                  <c:v>6.3980397495235503E-3</c:v>
                </c:pt>
                <c:pt idx="43">
                  <c:v>-5.4153182308522112E-2</c:v>
                </c:pt>
                <c:pt idx="44">
                  <c:v>-0.12138465042131633</c:v>
                </c:pt>
                <c:pt idx="45">
                  <c:v>2.8586781300376143E-2</c:v>
                </c:pt>
                <c:pt idx="46">
                  <c:v>-2.8677642060541689E-2</c:v>
                </c:pt>
                <c:pt idx="47">
                  <c:v>1.6636839663286274E-2</c:v>
                </c:pt>
                <c:pt idx="49">
                  <c:v>-2.3518631643249847E-2</c:v>
                </c:pt>
                <c:pt idx="51">
                  <c:v>-3.9426523297491037E-2</c:v>
                </c:pt>
                <c:pt idx="53">
                  <c:v>-0.20124064951651158</c:v>
                </c:pt>
                <c:pt idx="54">
                  <c:v>-9.3010066638309935E-2</c:v>
                </c:pt>
                <c:pt idx="58">
                  <c:v>-0.19764446080235554</c:v>
                </c:pt>
              </c:numCache>
            </c:numRef>
          </c:xVal>
          <c:yVal>
            <c:numRef>
              <c:f>'2019-2020'!$W$4:$W$63</c:f>
              <c:numCache>
                <c:formatCode>0.00%</c:formatCode>
                <c:ptCount val="60"/>
                <c:pt idx="0">
                  <c:v>1.8738081128064632E-2</c:v>
                </c:pt>
                <c:pt idx="1">
                  <c:v>3.1868896137480451E-2</c:v>
                </c:pt>
                <c:pt idx="2">
                  <c:v>-1.8902697172290928E-2</c:v>
                </c:pt>
                <c:pt idx="3">
                  <c:v>5.093590619906406E-3</c:v>
                </c:pt>
                <c:pt idx="6">
                  <c:v>5.815889710256919E-2</c:v>
                </c:pt>
                <c:pt idx="7">
                  <c:v>2.4269575317058048E-2</c:v>
                </c:pt>
                <c:pt idx="8">
                  <c:v>3.265295783515508E-2</c:v>
                </c:pt>
                <c:pt idx="9">
                  <c:v>3.5102518268580359E-2</c:v>
                </c:pt>
                <c:pt idx="10">
                  <c:v>1.4086866677284461E-2</c:v>
                </c:pt>
                <c:pt idx="11">
                  <c:v>1.629278863267667E-2</c:v>
                </c:pt>
                <c:pt idx="12">
                  <c:v>6.6201581685180338E-3</c:v>
                </c:pt>
                <c:pt idx="13">
                  <c:v>-6.9288824372971125E-3</c:v>
                </c:pt>
                <c:pt idx="14">
                  <c:v>6.8371552337256891E-4</c:v>
                </c:pt>
                <c:pt idx="15">
                  <c:v>1.0480308756440293E-2</c:v>
                </c:pt>
                <c:pt idx="16">
                  <c:v>6.5609208591635299E-3</c:v>
                </c:pt>
                <c:pt idx="17">
                  <c:v>2.3051539101564267E-2</c:v>
                </c:pt>
                <c:pt idx="18">
                  <c:v>7.2060463310733569E-3</c:v>
                </c:pt>
                <c:pt idx="19">
                  <c:v>1.1708617819169681E-2</c:v>
                </c:pt>
                <c:pt idx="20">
                  <c:v>1.2289844686258905E-2</c:v>
                </c:pt>
                <c:pt idx="21">
                  <c:v>3.5369988170450881E-2</c:v>
                </c:pt>
                <c:pt idx="22">
                  <c:v>2.832520512859793E-2</c:v>
                </c:pt>
                <c:pt idx="23">
                  <c:v>1.3507210378502832E-2</c:v>
                </c:pt>
                <c:pt idx="26">
                  <c:v>0.13285976354646559</c:v>
                </c:pt>
                <c:pt idx="28">
                  <c:v>-1.9553072625698324E-2</c:v>
                </c:pt>
                <c:pt idx="30">
                  <c:v>4.2904430705821742E-2</c:v>
                </c:pt>
                <c:pt idx="32">
                  <c:v>2.3193033381712622E-2</c:v>
                </c:pt>
                <c:pt idx="33">
                  <c:v>3.6670238112608951E-2</c:v>
                </c:pt>
                <c:pt idx="34">
                  <c:v>2.5488590875765514E-2</c:v>
                </c:pt>
                <c:pt idx="35">
                  <c:v>-1.5090490387188016E-2</c:v>
                </c:pt>
                <c:pt idx="36">
                  <c:v>-1.4747248357823081E-3</c:v>
                </c:pt>
                <c:pt idx="37">
                  <c:v>4.3163602003772422E-2</c:v>
                </c:pt>
                <c:pt idx="38">
                  <c:v>4.8675052118788906E-2</c:v>
                </c:pt>
                <c:pt idx="39">
                  <c:v>1.8986652992689534E-2</c:v>
                </c:pt>
                <c:pt idx="40">
                  <c:v>1.1836515975007247E-2</c:v>
                </c:pt>
                <c:pt idx="41">
                  <c:v>1.0416590691796762E-2</c:v>
                </c:pt>
                <c:pt idx="42">
                  <c:v>2.5566619942654786E-2</c:v>
                </c:pt>
                <c:pt idx="43">
                  <c:v>1.9859851258671332E-2</c:v>
                </c:pt>
                <c:pt idx="44">
                  <c:v>2.4725807618887735E-2</c:v>
                </c:pt>
                <c:pt idx="45">
                  <c:v>2.5199567630836278E-2</c:v>
                </c:pt>
                <c:pt idx="46">
                  <c:v>2.8034205505389515E-2</c:v>
                </c:pt>
                <c:pt idx="47">
                  <c:v>1.5026706103426574E-2</c:v>
                </c:pt>
                <c:pt idx="49">
                  <c:v>1.8614159693466442E-2</c:v>
                </c:pt>
                <c:pt idx="51">
                  <c:v>3.8634869357686077E-2</c:v>
                </c:pt>
                <c:pt idx="53">
                  <c:v>4.9159566054384984E-2</c:v>
                </c:pt>
                <c:pt idx="54">
                  <c:v>3.9090593494518072E-2</c:v>
                </c:pt>
                <c:pt idx="58">
                  <c:v>1.4840133309471794E-2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2BC-4E88-81EC-BF9C2327C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1246928"/>
        <c:axId val="541248608"/>
      </c:scatterChart>
      <c:valAx>
        <c:axId val="541246928"/>
        <c:scaling>
          <c:orientation val="minMax"/>
          <c:max val="0.15000000000000002"/>
          <c:min val="-0.3000000000000000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="1">
                    <a:solidFill>
                      <a:schemeClr val="tx1"/>
                    </a:solidFill>
                  </a:rPr>
                  <a:t>Change</a:t>
                </a:r>
                <a:r>
                  <a:rPr lang="en-US" sz="2000" b="1" baseline="0">
                    <a:solidFill>
                      <a:schemeClr val="tx1"/>
                    </a:solidFill>
                  </a:rPr>
                  <a:t> in Total Enrolement Compared to 10 Years Ago</a:t>
                </a:r>
                <a:endParaRPr lang="en-US" sz="2000" b="1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248608"/>
        <c:crosses val="autoZero"/>
        <c:crossBetween val="midCat"/>
      </c:valAx>
      <c:valAx>
        <c:axId val="541248608"/>
        <c:scaling>
          <c:orientation val="minMax"/>
          <c:max val="8.000000000000001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="1">
                    <a:solidFill>
                      <a:schemeClr val="tx1"/>
                    </a:solidFill>
                  </a:rPr>
                  <a:t>Change</a:t>
                </a:r>
                <a:r>
                  <a:rPr lang="en-US" sz="2000" b="1" baseline="0">
                    <a:solidFill>
                      <a:schemeClr val="tx1"/>
                    </a:solidFill>
                  </a:rPr>
                  <a:t> in Proportion of Students in FI compared to 10 Years Ago</a:t>
                </a:r>
                <a:endParaRPr lang="en-US" sz="2000" b="1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low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2469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2000" b="1">
                <a:solidFill>
                  <a:schemeClr val="tx1"/>
                </a:solidFill>
              </a:rPr>
              <a:t>Figure</a:t>
            </a:r>
            <a:r>
              <a:rPr lang="en-US" sz="2000" b="1" baseline="0">
                <a:solidFill>
                  <a:schemeClr val="tx1"/>
                </a:solidFill>
              </a:rPr>
              <a:t> 1. Percentage Change in FI Enrolment vs Percentage Change in Total Enrolment (2018/19 - 2019/20, 2 years). Outliers removed</a:t>
            </a:r>
            <a:endParaRPr lang="en-US" sz="20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% Change FI Enrolment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'2019-2020'!$L$4:$L$63</c:f>
              <c:numCache>
                <c:formatCode>0.00%</c:formatCode>
                <c:ptCount val="60"/>
                <c:pt idx="0">
                  <c:v>1.2297314872422169E-2</c:v>
                </c:pt>
                <c:pt idx="1">
                  <c:v>1.6746837698200605E-2</c:v>
                </c:pt>
                <c:pt idx="2">
                  <c:v>-2.9197080291970801E-3</c:v>
                </c:pt>
                <c:pt idx="3">
                  <c:v>1.2719563900666263E-2</c:v>
                </c:pt>
                <c:pt idx="6">
                  <c:v>1.0400811770674784E-2</c:v>
                </c:pt>
                <c:pt idx="7">
                  <c:v>1.6177490177952392E-2</c:v>
                </c:pt>
                <c:pt idx="8">
                  <c:v>2.0848911370134154E-2</c:v>
                </c:pt>
                <c:pt idx="9">
                  <c:v>-2.0662028252161079E-2</c:v>
                </c:pt>
                <c:pt idx="10">
                  <c:v>9.7873776577792771E-3</c:v>
                </c:pt>
                <c:pt idx="11">
                  <c:v>5.1229508196721308E-3</c:v>
                </c:pt>
                <c:pt idx="12">
                  <c:v>1.9994950770007573E-2</c:v>
                </c:pt>
                <c:pt idx="13">
                  <c:v>1.1944469485260975E-2</c:v>
                </c:pt>
                <c:pt idx="14">
                  <c:v>2.6697809584595118E-2</c:v>
                </c:pt>
                <c:pt idx="15">
                  <c:v>9.4402420574886542E-3</c:v>
                </c:pt>
                <c:pt idx="16">
                  <c:v>6.3931297709923663E-3</c:v>
                </c:pt>
                <c:pt idx="17">
                  <c:v>-8.3008378054901357E-4</c:v>
                </c:pt>
                <c:pt idx="18">
                  <c:v>6.4935064935064935E-4</c:v>
                </c:pt>
                <c:pt idx="19">
                  <c:v>2.5156489901972362E-2</c:v>
                </c:pt>
                <c:pt idx="20">
                  <c:v>1.3077023669412841E-2</c:v>
                </c:pt>
                <c:pt idx="21">
                  <c:v>3.6046860919194952E-3</c:v>
                </c:pt>
                <c:pt idx="22">
                  <c:v>1.8929422088504452E-2</c:v>
                </c:pt>
                <c:pt idx="23">
                  <c:v>8.0469176213857057E-3</c:v>
                </c:pt>
                <c:pt idx="25">
                  <c:v>0.22183406113537119</c:v>
                </c:pt>
                <c:pt idx="26">
                  <c:v>1.5201715065289417E-2</c:v>
                </c:pt>
                <c:pt idx="28">
                  <c:v>-1.8907563025210083E-2</c:v>
                </c:pt>
                <c:pt idx="30">
                  <c:v>-1.1207335710646969E-2</c:v>
                </c:pt>
                <c:pt idx="31">
                  <c:v>0</c:v>
                </c:pt>
                <c:pt idx="32">
                  <c:v>-8.1383519837232958E-3</c:v>
                </c:pt>
                <c:pt idx="33">
                  <c:v>6.7714995109472581E-4</c:v>
                </c:pt>
                <c:pt idx="34">
                  <c:v>-2.7659574468085105E-2</c:v>
                </c:pt>
                <c:pt idx="35">
                  <c:v>1.7573221757322177E-2</c:v>
                </c:pt>
                <c:pt idx="36">
                  <c:v>1.3127051101734646E-2</c:v>
                </c:pt>
                <c:pt idx="37">
                  <c:v>7.0706078758715502E-3</c:v>
                </c:pt>
                <c:pt idx="38">
                  <c:v>1.9881409138472271E-2</c:v>
                </c:pt>
                <c:pt idx="39">
                  <c:v>4.4410946196660479E-2</c:v>
                </c:pt>
                <c:pt idx="40">
                  <c:v>-0.14126807563959956</c:v>
                </c:pt>
                <c:pt idx="41">
                  <c:v>-1.5035024773620365E-2</c:v>
                </c:pt>
                <c:pt idx="42">
                  <c:v>1.2185104052573932E-2</c:v>
                </c:pt>
                <c:pt idx="43">
                  <c:v>2.7447392497712718E-3</c:v>
                </c:pt>
                <c:pt idx="44">
                  <c:v>-3.3583053474554379E-3</c:v>
                </c:pt>
                <c:pt idx="45">
                  <c:v>4.1571444117967135E-2</c:v>
                </c:pt>
                <c:pt idx="46">
                  <c:v>1.0869565217391304E-2</c:v>
                </c:pt>
                <c:pt idx="47">
                  <c:v>2.0696080388633794E-2</c:v>
                </c:pt>
                <c:pt idx="49">
                  <c:v>1.7666719719879039E-2</c:v>
                </c:pt>
                <c:pt idx="51">
                  <c:v>3.5028385070660709E-3</c:v>
                </c:pt>
                <c:pt idx="53">
                  <c:v>1.1786457129651028E-2</c:v>
                </c:pt>
                <c:pt idx="54">
                  <c:v>1.8144198631227119E-2</c:v>
                </c:pt>
                <c:pt idx="58">
                  <c:v>-3.8800705467372132E-2</c:v>
                </c:pt>
              </c:numCache>
            </c:numRef>
          </c:xVal>
          <c:yVal>
            <c:numRef>
              <c:f>'2019-2020'!$E$4:$E$63</c:f>
              <c:numCache>
                <c:formatCode>0.00%</c:formatCode>
                <c:ptCount val="60"/>
                <c:pt idx="0">
                  <c:v>7.797018242429855E-3</c:v>
                </c:pt>
                <c:pt idx="1">
                  <c:v>3.4423407917383822E-3</c:v>
                </c:pt>
                <c:pt idx="2">
                  <c:v>6.2111801242236024E-2</c:v>
                </c:pt>
                <c:pt idx="3">
                  <c:v>0</c:v>
                </c:pt>
                <c:pt idx="6">
                  <c:v>0.32247557003257327</c:v>
                </c:pt>
                <c:pt idx="7">
                  <c:v>-1.5966386554621848E-2</c:v>
                </c:pt>
                <c:pt idx="8">
                  <c:v>3.8344722854973423E-2</c:v>
                </c:pt>
                <c:pt idx="9">
                  <c:v>0</c:v>
                </c:pt>
                <c:pt idx="10">
                  <c:v>4.6391752577319589E-2</c:v>
                </c:pt>
                <c:pt idx="11">
                  <c:v>4.5045045045045043E-2</c:v>
                </c:pt>
                <c:pt idx="12">
                  <c:v>-5.3254437869822487E-2</c:v>
                </c:pt>
                <c:pt idx="13">
                  <c:v>-1.493550577053632E-2</c:v>
                </c:pt>
                <c:pt idx="14">
                  <c:v>-5.5572707625810439E-3</c:v>
                </c:pt>
                <c:pt idx="15">
                  <c:v>8.8539104771273979E-3</c:v>
                </c:pt>
                <c:pt idx="16">
                  <c:v>2.1570319240724764E-2</c:v>
                </c:pt>
                <c:pt idx="17">
                  <c:v>1.1044371245882581E-2</c:v>
                </c:pt>
                <c:pt idx="18">
                  <c:v>-9.8911968348170125E-4</c:v>
                </c:pt>
                <c:pt idx="19">
                  <c:v>-9.4466936572199737E-3</c:v>
                </c:pt>
                <c:pt idx="20">
                  <c:v>1.7199017199017199E-2</c:v>
                </c:pt>
                <c:pt idx="21">
                  <c:v>0</c:v>
                </c:pt>
                <c:pt idx="22">
                  <c:v>2.6719056974459726E-2</c:v>
                </c:pt>
                <c:pt idx="23">
                  <c:v>1.6553067185978577E-2</c:v>
                </c:pt>
                <c:pt idx="25">
                  <c:v>0.1951219512195122</c:v>
                </c:pt>
                <c:pt idx="26">
                  <c:v>9.1996320147194111E-4</c:v>
                </c:pt>
                <c:pt idx="28">
                  <c:v>-1</c:v>
                </c:pt>
                <c:pt idx="30">
                  <c:v>-2.6086956521739129E-2</c:v>
                </c:pt>
                <c:pt idx="31">
                  <c:v>0</c:v>
                </c:pt>
                <c:pt idx="32">
                  <c:v>-5.9459459459459463E-2</c:v>
                </c:pt>
                <c:pt idx="33">
                  <c:v>2.1645021645021644E-2</c:v>
                </c:pt>
                <c:pt idx="34">
                  <c:v>-8.0952380952380956E-2</c:v>
                </c:pt>
                <c:pt idx="35">
                  <c:v>2.097902097902098E-2</c:v>
                </c:pt>
                <c:pt idx="36">
                  <c:v>-4.9140049140049139E-3</c:v>
                </c:pt>
                <c:pt idx="37">
                  <c:v>3.854059609455293E-3</c:v>
                </c:pt>
                <c:pt idx="38">
                  <c:v>4.7091412742382273E-2</c:v>
                </c:pt>
                <c:pt idx="39">
                  <c:v>6.6593886462882099E-2</c:v>
                </c:pt>
                <c:pt idx="40">
                  <c:v>-0.1</c:v>
                </c:pt>
                <c:pt idx="41">
                  <c:v>-5.2307692307692305E-2</c:v>
                </c:pt>
                <c:pt idx="42">
                  <c:v>2.7061044682190057E-2</c:v>
                </c:pt>
                <c:pt idx="43">
                  <c:v>3.8812785388127852E-2</c:v>
                </c:pt>
                <c:pt idx="44">
                  <c:v>2.8645833333333332E-2</c:v>
                </c:pt>
                <c:pt idx="45">
                  <c:v>7.2992700729927005E-3</c:v>
                </c:pt>
                <c:pt idx="46">
                  <c:v>6.1831153388822828E-2</c:v>
                </c:pt>
                <c:pt idx="47">
                  <c:v>1.6155088852988692E-3</c:v>
                </c:pt>
                <c:pt idx="49">
                  <c:v>2.0992366412213741E-2</c:v>
                </c:pt>
                <c:pt idx="51">
                  <c:v>-2.0972354623450904E-2</c:v>
                </c:pt>
                <c:pt idx="53">
                  <c:v>2.748414376321353E-2</c:v>
                </c:pt>
                <c:pt idx="54">
                  <c:v>2.3255813953488372E-2</c:v>
                </c:pt>
                <c:pt idx="58">
                  <c:v>7.3394495412844041E-2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BAF-4E30-9F2F-F4003109F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1920176"/>
        <c:axId val="391940416"/>
      </c:scatterChart>
      <c:valAx>
        <c:axId val="391920176"/>
        <c:scaling>
          <c:orientation val="minMax"/>
          <c:max val="4.0000000000000008E-2"/>
          <c:min val="-4.0000000000000008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="1">
                    <a:solidFill>
                      <a:schemeClr val="tx1"/>
                    </a:solidFill>
                  </a:rPr>
                  <a:t>Percentage</a:t>
                </a:r>
                <a:r>
                  <a:rPr lang="en-US" sz="2000" b="1" baseline="0">
                    <a:solidFill>
                      <a:schemeClr val="tx1"/>
                    </a:solidFill>
                  </a:rPr>
                  <a:t> Change in Total Enrolment Compared to Previous Year</a:t>
                </a:r>
                <a:endParaRPr lang="en-US" sz="2000" b="1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1940416"/>
        <c:crosses val="autoZero"/>
        <c:crossBetween val="midCat"/>
      </c:valAx>
      <c:valAx>
        <c:axId val="391940416"/>
        <c:scaling>
          <c:orientation val="minMax"/>
          <c:max val="0.15000000000000002"/>
          <c:min val="-5.000000000000001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="1">
                    <a:solidFill>
                      <a:schemeClr val="tx1"/>
                    </a:solidFill>
                  </a:rPr>
                  <a:t>Percentage</a:t>
                </a:r>
                <a:r>
                  <a:rPr lang="en-US" sz="2000" b="1" baseline="0">
                    <a:solidFill>
                      <a:schemeClr val="tx1"/>
                    </a:solidFill>
                  </a:rPr>
                  <a:t> Change in FI Enrolment Compared to Previous Year</a:t>
                </a:r>
                <a:endParaRPr lang="en-US" sz="2000" b="1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low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192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2000" b="1">
                <a:solidFill>
                  <a:schemeClr val="tx1"/>
                </a:solidFill>
              </a:rPr>
              <a:t>Figure 2. Percentage Change in FI Enrolment vs</a:t>
            </a:r>
            <a:r>
              <a:rPr lang="en-US" sz="2000" b="1" baseline="0">
                <a:solidFill>
                  <a:schemeClr val="tx1"/>
                </a:solidFill>
              </a:rPr>
              <a:t> Percentage Change in Total Enrolment (2014/15 - 2019/20, 6 years). Outliers removed</a:t>
            </a:r>
            <a:endParaRPr lang="en-US" sz="20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% Change FI Enrolment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'2019-2020'!$N$4:$N$63</c:f>
              <c:numCache>
                <c:formatCode>0.00%</c:formatCode>
                <c:ptCount val="60"/>
                <c:pt idx="0">
                  <c:v>4.1960028075862715E-2</c:v>
                </c:pt>
                <c:pt idx="1">
                  <c:v>8.1690674753601214E-2</c:v>
                </c:pt>
                <c:pt idx="2">
                  <c:v>0.10090264345583494</c:v>
                </c:pt>
                <c:pt idx="3">
                  <c:v>-2.7341477603257707E-2</c:v>
                </c:pt>
                <c:pt idx="6">
                  <c:v>8.7954110898661564E-2</c:v>
                </c:pt>
                <c:pt idx="7">
                  <c:v>6.6456463739995156E-2</c:v>
                </c:pt>
                <c:pt idx="8">
                  <c:v>8.8244947718854036E-2</c:v>
                </c:pt>
                <c:pt idx="9">
                  <c:v>8.6188321482439127E-4</c:v>
                </c:pt>
                <c:pt idx="10">
                  <c:v>-1.772816808929744E-2</c:v>
                </c:pt>
                <c:pt idx="11">
                  <c:v>5.8497109826589594E-2</c:v>
                </c:pt>
                <c:pt idx="12">
                  <c:v>4.711797636325938E-2</c:v>
                </c:pt>
                <c:pt idx="13">
                  <c:v>0.11121560087111464</c:v>
                </c:pt>
                <c:pt idx="14">
                  <c:v>6.8395393202854524E-2</c:v>
                </c:pt>
                <c:pt idx="15">
                  <c:v>4.3997997246213547E-2</c:v>
                </c:pt>
                <c:pt idx="16">
                  <c:v>-9.9037784557615589E-3</c:v>
                </c:pt>
                <c:pt idx="17">
                  <c:v>-4.7514767854842571E-2</c:v>
                </c:pt>
                <c:pt idx="18">
                  <c:v>3.8829715518403668E-2</c:v>
                </c:pt>
                <c:pt idx="19">
                  <c:v>5.1993697733608048E-2</c:v>
                </c:pt>
                <c:pt idx="20">
                  <c:v>6.9436775262286032E-2</c:v>
                </c:pt>
                <c:pt idx="21">
                  <c:v>8.0255853246439784E-3</c:v>
                </c:pt>
                <c:pt idx="22">
                  <c:v>2.3935500125976318E-2</c:v>
                </c:pt>
                <c:pt idx="23">
                  <c:v>1.6923500275178867E-2</c:v>
                </c:pt>
                <c:pt idx="25">
                  <c:v>0.32355723746452225</c:v>
                </c:pt>
                <c:pt idx="26">
                  <c:v>0.13337684943429068</c:v>
                </c:pt>
                <c:pt idx="28">
                  <c:v>-0.17198581560283688</c:v>
                </c:pt>
                <c:pt idx="30">
                  <c:v>-6.0503388189738626E-2</c:v>
                </c:pt>
                <c:pt idx="31">
                  <c:v>-1.0642652476463364E-2</c:v>
                </c:pt>
                <c:pt idx="32">
                  <c:v>-5.8880308880308881E-2</c:v>
                </c:pt>
                <c:pt idx="33">
                  <c:v>2.9810298102981029E-2</c:v>
                </c:pt>
                <c:pt idx="34">
                  <c:v>-4.6725073007926575E-2</c:v>
                </c:pt>
                <c:pt idx="35">
                  <c:v>4.2285714285714288E-2</c:v>
                </c:pt>
                <c:pt idx="36">
                  <c:v>6.9801980198019808E-2</c:v>
                </c:pt>
                <c:pt idx="37">
                  <c:v>4.9319553872915173E-2</c:v>
                </c:pt>
                <c:pt idx="38">
                  <c:v>0.19043256997455471</c:v>
                </c:pt>
                <c:pt idx="39">
                  <c:v>-1.9379422972237343E-2</c:v>
                </c:pt>
                <c:pt idx="40">
                  <c:v>-9.9708454810495631E-2</c:v>
                </c:pt>
                <c:pt idx="41">
                  <c:v>1.3896126454750739E-3</c:v>
                </c:pt>
                <c:pt idx="42">
                  <c:v>7.8640210096294141E-2</c:v>
                </c:pt>
                <c:pt idx="43">
                  <c:v>7.0051257017329754E-2</c:v>
                </c:pt>
                <c:pt idx="44">
                  <c:v>2.4973432518597238E-2</c:v>
                </c:pt>
                <c:pt idx="45">
                  <c:v>0.11329533558217983</c:v>
                </c:pt>
                <c:pt idx="46">
                  <c:v>5.7632999228989977E-2</c:v>
                </c:pt>
                <c:pt idx="47">
                  <c:v>5.7501378929950359E-2</c:v>
                </c:pt>
                <c:pt idx="49">
                  <c:v>6.9588491134158575E-2</c:v>
                </c:pt>
                <c:pt idx="51">
                  <c:v>9.5030974034532756E-2</c:v>
                </c:pt>
                <c:pt idx="53">
                  <c:v>-8.829654310703873E-2</c:v>
                </c:pt>
                <c:pt idx="54">
                  <c:v>9.9518734960467509E-2</c:v>
                </c:pt>
                <c:pt idx="58">
                  <c:v>-6.9568928723858295E-2</c:v>
                </c:pt>
              </c:numCache>
            </c:numRef>
          </c:xVal>
          <c:yVal>
            <c:numRef>
              <c:f>'2019-2020'!$G$4:$G$63</c:f>
              <c:numCache>
                <c:formatCode>0.00%</c:formatCode>
                <c:ptCount val="60"/>
                <c:pt idx="0">
                  <c:v>8.1656992923590688E-2</c:v>
                </c:pt>
                <c:pt idx="1">
                  <c:v>0.27292576419213976</c:v>
                </c:pt>
                <c:pt idx="2">
                  <c:v>0.35714285714285715</c:v>
                </c:pt>
                <c:pt idx="3">
                  <c:v>-3.7037037037037038E-3</c:v>
                </c:pt>
                <c:pt idx="6">
                  <c:v>0.91509433962264153</c:v>
                </c:pt>
                <c:pt idx="7">
                  <c:v>9.5416276894293731E-2</c:v>
                </c:pt>
                <c:pt idx="8">
                  <c:v>0.19903551074090312</c:v>
                </c:pt>
                <c:pt idx="9">
                  <c:v>0.33442622950819673</c:v>
                </c:pt>
                <c:pt idx="10">
                  <c:v>6.8421052631578952E-2</c:v>
                </c:pt>
                <c:pt idx="11">
                  <c:v>0.40040241448692154</c:v>
                </c:pt>
                <c:pt idx="12">
                  <c:v>2.8112449799196786E-2</c:v>
                </c:pt>
                <c:pt idx="13">
                  <c:v>5.544005544005544E-3</c:v>
                </c:pt>
                <c:pt idx="14">
                  <c:v>-4.0512362228179923E-2</c:v>
                </c:pt>
                <c:pt idx="15">
                  <c:v>1.9540791402051783E-3</c:v>
                </c:pt>
                <c:pt idx="16">
                  <c:v>5.0110864745011086E-2</c:v>
                </c:pt>
                <c:pt idx="17">
                  <c:v>6.2296416938110749E-2</c:v>
                </c:pt>
                <c:pt idx="18">
                  <c:v>2.6422764227642278E-2</c:v>
                </c:pt>
                <c:pt idx="19">
                  <c:v>-9.892086330935251E-3</c:v>
                </c:pt>
                <c:pt idx="20">
                  <c:v>0.13580246913580246</c:v>
                </c:pt>
                <c:pt idx="21">
                  <c:v>5.8438012015292189E-2</c:v>
                </c:pt>
                <c:pt idx="22">
                  <c:v>3.56718192627824E-2</c:v>
                </c:pt>
                <c:pt idx="23">
                  <c:v>6.5306122448979598E-2</c:v>
                </c:pt>
                <c:pt idx="25">
                  <c:v>1</c:v>
                </c:pt>
                <c:pt idx="26">
                  <c:v>0.64848484848484844</c:v>
                </c:pt>
                <c:pt idx="28">
                  <c:v>-1</c:v>
                </c:pt>
                <c:pt idx="30">
                  <c:v>0.3575757575757576</c:v>
                </c:pt>
                <c:pt idx="32">
                  <c:v>-0.10309278350515463</c:v>
                </c:pt>
                <c:pt idx="33">
                  <c:v>0.17882117882117882</c:v>
                </c:pt>
                <c:pt idx="34">
                  <c:v>0.19135802469135801</c:v>
                </c:pt>
                <c:pt idx="35">
                  <c:v>-0.23359580052493439</c:v>
                </c:pt>
                <c:pt idx="36">
                  <c:v>0.18075801749271136</c:v>
                </c:pt>
                <c:pt idx="37">
                  <c:v>6.1973362326719218E-2</c:v>
                </c:pt>
                <c:pt idx="38">
                  <c:v>0.34519572953736655</c:v>
                </c:pt>
                <c:pt idx="39">
                  <c:v>8.1949058693244745E-2</c:v>
                </c:pt>
                <c:pt idx="40">
                  <c:v>-0.12571428571428572</c:v>
                </c:pt>
                <c:pt idx="41">
                  <c:v>-6.9486404833836862E-2</c:v>
                </c:pt>
                <c:pt idx="42">
                  <c:v>0.13728222996515679</c:v>
                </c:pt>
                <c:pt idx="43">
                  <c:v>0.21010638297872342</c:v>
                </c:pt>
                <c:pt idx="44">
                  <c:v>-1.2500000000000001E-2</c:v>
                </c:pt>
                <c:pt idx="45">
                  <c:v>7.6256499133448868E-2</c:v>
                </c:pt>
                <c:pt idx="46">
                  <c:v>6.0570071258907364E-2</c:v>
                </c:pt>
                <c:pt idx="47">
                  <c:v>5.8020477815699661E-2</c:v>
                </c:pt>
                <c:pt idx="49">
                  <c:v>0.14316239316239315</c:v>
                </c:pt>
                <c:pt idx="51">
                  <c:v>6.3146997929606624E-2</c:v>
                </c:pt>
                <c:pt idx="53">
                  <c:v>0.15439429928741091</c:v>
                </c:pt>
                <c:pt idx="54">
                  <c:v>-1.0582010582010581E-2</c:v>
                </c:pt>
                <c:pt idx="58">
                  <c:v>-1.2658227848101266E-2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F79-4DF3-AADE-01532887CE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01152"/>
        <c:axId val="540668832"/>
      </c:scatterChart>
      <c:valAx>
        <c:axId val="12601152"/>
        <c:scaling>
          <c:orientation val="minMax"/>
          <c:max val="0.15000000000000002"/>
          <c:min val="-0.1500000000000000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="1">
                    <a:solidFill>
                      <a:schemeClr val="tx1"/>
                    </a:solidFill>
                  </a:rPr>
                  <a:t>Percentage</a:t>
                </a:r>
                <a:r>
                  <a:rPr lang="en-US" sz="2000" b="1" baseline="0">
                    <a:solidFill>
                      <a:schemeClr val="tx1"/>
                    </a:solidFill>
                  </a:rPr>
                  <a:t> Change in Total Enrolment Compared to Five Years Ago</a:t>
                </a:r>
                <a:endParaRPr lang="en-US" sz="2000" b="1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0668832"/>
        <c:crosses val="autoZero"/>
        <c:crossBetween val="midCat"/>
      </c:valAx>
      <c:valAx>
        <c:axId val="540668832"/>
        <c:scaling>
          <c:orientation val="minMax"/>
          <c:max val="0.35000000000000003"/>
          <c:min val="-0.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="1">
                    <a:solidFill>
                      <a:schemeClr val="tx1"/>
                    </a:solidFill>
                  </a:rPr>
                  <a:t>Percentage</a:t>
                </a:r>
                <a:r>
                  <a:rPr lang="en-US" sz="2000" b="1" baseline="0">
                    <a:solidFill>
                      <a:schemeClr val="tx1"/>
                    </a:solidFill>
                  </a:rPr>
                  <a:t> Change in FI Enrolment Compared to Five Years Ago</a:t>
                </a:r>
                <a:endParaRPr lang="en-US" sz="2000" b="1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low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011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2000" b="1">
                <a:solidFill>
                  <a:schemeClr val="tx1"/>
                </a:solidFill>
              </a:rPr>
              <a:t>Figure</a:t>
            </a:r>
            <a:r>
              <a:rPr lang="en-US" sz="2000" b="1" baseline="0">
                <a:solidFill>
                  <a:schemeClr val="tx1"/>
                </a:solidFill>
              </a:rPr>
              <a:t> 3. Percentage Change in FI Enrolment vs Percentage Change in Total Enrolment (2009/10 - 2019/20, 11 years). Outliers Removed</a:t>
            </a:r>
            <a:endParaRPr lang="en-US" sz="20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% Change FI Enrolment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'2019-2020'!$P$4:$P$63</c:f>
              <c:numCache>
                <c:formatCode>0.00%</c:formatCode>
                <c:ptCount val="60"/>
                <c:pt idx="0">
                  <c:v>-7.7521650074162379E-3</c:v>
                </c:pt>
                <c:pt idx="1">
                  <c:v>6.1175158051320191E-2</c:v>
                </c:pt>
                <c:pt idx="2">
                  <c:v>2.86144578313253E-2</c:v>
                </c:pt>
                <c:pt idx="3">
                  <c:v>-8.1318681318681321E-2</c:v>
                </c:pt>
                <c:pt idx="6">
                  <c:v>-3.1371595330739299E-2</c:v>
                </c:pt>
                <c:pt idx="7">
                  <c:v>4.7989031078610606E-3</c:v>
                </c:pt>
                <c:pt idx="8">
                  <c:v>6.355971038401613E-2</c:v>
                </c:pt>
                <c:pt idx="9">
                  <c:v>-0.23286540049545829</c:v>
                </c:pt>
                <c:pt idx="10">
                  <c:v>-0.24482584553255932</c:v>
                </c:pt>
                <c:pt idx="11">
                  <c:v>-2.0259666143529746E-2</c:v>
                </c:pt>
                <c:pt idx="12">
                  <c:v>3.5470808344866475E-2</c:v>
                </c:pt>
                <c:pt idx="13">
                  <c:v>0.13457651101677784</c:v>
                </c:pt>
                <c:pt idx="14">
                  <c:v>9.3996440405735862E-2</c:v>
                </c:pt>
                <c:pt idx="15">
                  <c:v>-6.7877344447752307E-3</c:v>
                </c:pt>
                <c:pt idx="16">
                  <c:v>-8.1711723477428055E-2</c:v>
                </c:pt>
                <c:pt idx="17">
                  <c:v>-0.13703357897895896</c:v>
                </c:pt>
                <c:pt idx="18">
                  <c:v>8.0948372615039288E-2</c:v>
                </c:pt>
                <c:pt idx="19">
                  <c:v>1.0712622263623661E-2</c:v>
                </c:pt>
                <c:pt idx="20">
                  <c:v>-9.6718034689535109E-4</c:v>
                </c:pt>
                <c:pt idx="21">
                  <c:v>2.5224008837608936E-2</c:v>
                </c:pt>
                <c:pt idx="22">
                  <c:v>-2.6878180185573183E-2</c:v>
                </c:pt>
                <c:pt idx="23">
                  <c:v>6.8063583815028902E-2</c:v>
                </c:pt>
                <c:pt idx="25">
                  <c:v>0.18861512319456245</c:v>
                </c:pt>
                <c:pt idx="26">
                  <c:v>0.23729216152019003</c:v>
                </c:pt>
                <c:pt idx="28">
                  <c:v>-0.3477653631284916</c:v>
                </c:pt>
                <c:pt idx="30">
                  <c:v>-0.19125</c:v>
                </c:pt>
                <c:pt idx="31">
                  <c:v>-0.16163718348942074</c:v>
                </c:pt>
                <c:pt idx="32">
                  <c:v>-0.20016406890894176</c:v>
                </c:pt>
                <c:pt idx="33">
                  <c:v>-7.8181314111449962E-2</c:v>
                </c:pt>
                <c:pt idx="34">
                  <c:v>-0.15775893844452635</c:v>
                </c:pt>
                <c:pt idx="35">
                  <c:v>-0.11692084241103849</c:v>
                </c:pt>
                <c:pt idx="36">
                  <c:v>7.1216126900198282E-2</c:v>
                </c:pt>
                <c:pt idx="37">
                  <c:v>1.5626526027932416E-3</c:v>
                </c:pt>
                <c:pt idx="38">
                  <c:v>0.26197669400086321</c:v>
                </c:pt>
                <c:pt idx="39">
                  <c:v>-7.1443298969072158E-2</c:v>
                </c:pt>
                <c:pt idx="40">
                  <c:v>-3.0759573132454487E-2</c:v>
                </c:pt>
                <c:pt idx="41">
                  <c:v>-0.12172455819622181</c:v>
                </c:pt>
                <c:pt idx="42">
                  <c:v>6.3980397495235503E-3</c:v>
                </c:pt>
                <c:pt idx="43">
                  <c:v>-5.4153182308522112E-2</c:v>
                </c:pt>
                <c:pt idx="44">
                  <c:v>-0.12138465042131633</c:v>
                </c:pt>
                <c:pt idx="45">
                  <c:v>2.8586781300376143E-2</c:v>
                </c:pt>
                <c:pt idx="46">
                  <c:v>-2.8677642060541689E-2</c:v>
                </c:pt>
                <c:pt idx="47">
                  <c:v>1.6636839663286274E-2</c:v>
                </c:pt>
                <c:pt idx="49">
                  <c:v>-2.3518631643249847E-2</c:v>
                </c:pt>
                <c:pt idx="51">
                  <c:v>-3.9426523297491037E-2</c:v>
                </c:pt>
                <c:pt idx="53">
                  <c:v>-0.20124064951651158</c:v>
                </c:pt>
                <c:pt idx="54">
                  <c:v>-9.3010066638309935E-2</c:v>
                </c:pt>
                <c:pt idx="58">
                  <c:v>-0.19764446080235554</c:v>
                </c:pt>
              </c:numCache>
            </c:numRef>
          </c:xVal>
          <c:yVal>
            <c:numRef>
              <c:f>'2019-2020'!$I$4:$I$63</c:f>
              <c:numCache>
                <c:formatCode>0.00%</c:formatCode>
                <c:ptCount val="60"/>
                <c:pt idx="0">
                  <c:v>0.23773996906559913</c:v>
                </c:pt>
                <c:pt idx="1">
                  <c:v>0.54232804232804233</c:v>
                </c:pt>
                <c:pt idx="2">
                  <c:v>-0.25327510917030566</c:v>
                </c:pt>
                <c:pt idx="3">
                  <c:v>1.509433962264151E-2</c:v>
                </c:pt>
                <c:pt idx="6">
                  <c:v>1.2555555555555555</c:v>
                </c:pt>
                <c:pt idx="7">
                  <c:v>0.22875131164742918</c:v>
                </c:pt>
                <c:pt idx="8">
                  <c:v>0.471221086605702</c:v>
                </c:pt>
                <c:pt idx="9">
                  <c:v>0.27987421383647798</c:v>
                </c:pt>
                <c:pt idx="10">
                  <c:v>-4.6948356807511735E-2</c:v>
                </c:pt>
                <c:pt idx="11">
                  <c:v>0.44398340248962653</c:v>
                </c:pt>
                <c:pt idx="12">
                  <c:v>0.15627822944896116</c:v>
                </c:pt>
                <c:pt idx="13">
                  <c:v>2.4717514124293787E-2</c:v>
                </c:pt>
                <c:pt idx="14">
                  <c:v>0.11183983431135658</c:v>
                </c:pt>
                <c:pt idx="15">
                  <c:v>8.5759661196400216E-2</c:v>
                </c:pt>
                <c:pt idx="16">
                  <c:v>-2.4711696869851731E-2</c:v>
                </c:pt>
                <c:pt idx="17">
                  <c:v>0.11878216123499143</c:v>
                </c:pt>
                <c:pt idx="18">
                  <c:v>0.14382785956964891</c:v>
                </c:pt>
                <c:pt idx="19">
                  <c:v>0.17314864144912093</c:v>
                </c:pt>
                <c:pt idx="20">
                  <c:v>0.12883435582822086</c:v>
                </c:pt>
                <c:pt idx="21">
                  <c:v>0.47488584474885842</c:v>
                </c:pt>
                <c:pt idx="22">
                  <c:v>0.18128390596745028</c:v>
                </c:pt>
                <c:pt idx="23">
                  <c:v>0.18099547511312217</c:v>
                </c:pt>
                <c:pt idx="25">
                  <c:v>0</c:v>
                </c:pt>
                <c:pt idx="26">
                  <c:v>2.4</c:v>
                </c:pt>
                <c:pt idx="28">
                  <c:v>-1</c:v>
                </c:pt>
                <c:pt idx="30">
                  <c:v>0.28735632183908044</c:v>
                </c:pt>
                <c:pt idx="32">
                  <c:v>8.0745341614906832E-2</c:v>
                </c:pt>
                <c:pt idx="33">
                  <c:v>0.57123834886817582</c:v>
                </c:pt>
                <c:pt idx="34">
                  <c:v>0.20624999999999999</c:v>
                </c:pt>
                <c:pt idx="35">
                  <c:v>-0.25699745547073793</c:v>
                </c:pt>
                <c:pt idx="36">
                  <c:v>4.6511627906976744E-2</c:v>
                </c:pt>
                <c:pt idx="37">
                  <c:v>0.29499502817368245</c:v>
                </c:pt>
                <c:pt idx="38">
                  <c:v>1.0240963855421688</c:v>
                </c:pt>
                <c:pt idx="39">
                  <c:v>0.12557603686635946</c:v>
                </c:pt>
                <c:pt idx="40">
                  <c:v>0.10071942446043165</c:v>
                </c:pt>
                <c:pt idx="41">
                  <c:v>-2.6856240126382307E-2</c:v>
                </c:pt>
                <c:pt idx="42">
                  <c:v>0.3097913322632424</c:v>
                </c:pt>
                <c:pt idx="43">
                  <c:v>0.16966580976863754</c:v>
                </c:pt>
                <c:pt idx="44">
                  <c:v>0.15835777126099707</c:v>
                </c:pt>
                <c:pt idx="45">
                  <c:v>0.27646454265159304</c:v>
                </c:pt>
                <c:pt idx="46">
                  <c:v>0.17345597897503284</c:v>
                </c:pt>
                <c:pt idx="47">
                  <c:v>0.24874118831822759</c:v>
                </c:pt>
                <c:pt idx="49">
                  <c:v>0.25586854460093894</c:v>
                </c:pt>
                <c:pt idx="51">
                  <c:v>0.39727891156462586</c:v>
                </c:pt>
                <c:pt idx="53">
                  <c:v>0.4336283185840708</c:v>
                </c:pt>
                <c:pt idx="54">
                  <c:v>0.36247723132969034</c:v>
                </c:pt>
                <c:pt idx="58">
                  <c:v>0.10900473933649289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448-494D-B086-46E124D482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7849856"/>
        <c:axId val="515639968"/>
      </c:scatterChart>
      <c:valAx>
        <c:axId val="537849856"/>
        <c:scaling>
          <c:orientation val="minMax"/>
          <c:max val="0.15000000000000002"/>
          <c:min val="-0.3000000000000000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="1">
                    <a:solidFill>
                      <a:schemeClr val="tx1"/>
                    </a:solidFill>
                  </a:rPr>
                  <a:t>Percentage</a:t>
                </a:r>
                <a:r>
                  <a:rPr lang="en-US" sz="2000" b="1" baseline="0">
                    <a:solidFill>
                      <a:schemeClr val="tx1"/>
                    </a:solidFill>
                  </a:rPr>
                  <a:t> Change in Total Enrolment Compared to Ten Years Ago</a:t>
                </a:r>
                <a:endParaRPr lang="en-US" sz="2000" b="1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5639968"/>
        <c:crosses val="autoZero"/>
        <c:crossBetween val="midCat"/>
        <c:majorUnit val="5.000000000000001E-2"/>
      </c:valAx>
      <c:valAx>
        <c:axId val="515639968"/>
        <c:scaling>
          <c:orientation val="minMax"/>
          <c:max val="0.8"/>
          <c:min val="-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="1">
                    <a:solidFill>
                      <a:schemeClr val="tx1"/>
                    </a:solidFill>
                  </a:rPr>
                  <a:t>Percentage</a:t>
                </a:r>
                <a:r>
                  <a:rPr lang="en-US" sz="2000" b="1" baseline="0">
                    <a:solidFill>
                      <a:schemeClr val="tx1"/>
                    </a:solidFill>
                  </a:rPr>
                  <a:t> Change in FI Enrolment Compared to Ten Years Ago</a:t>
                </a:r>
                <a:endParaRPr lang="en-US" sz="2000" b="1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low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8498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solidFill>
                  <a:schemeClr val="tx1"/>
                </a:solidFill>
              </a:rPr>
              <a:t>Figure 1. Average</a:t>
            </a:r>
            <a:r>
              <a:rPr lang="en-US" sz="1800" b="1" baseline="0">
                <a:solidFill>
                  <a:schemeClr val="tx1"/>
                </a:solidFill>
              </a:rPr>
              <a:t> Grade 1-5 Attrition Rate of 5 Cohorts (Ending in 2014/15 - 2019/20) vs Proportion of Students in FI (2009/10). Outliers removed</a:t>
            </a:r>
            <a:endParaRPr lang="en-US" sz="18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Attrition rate % student in FI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'2019-2020'!$V$4:$V$63</c:f>
              <c:numCache>
                <c:formatCode>0.00%</c:formatCode>
                <c:ptCount val="60"/>
                <c:pt idx="0">
                  <c:v>7.5736929419121662E-2</c:v>
                </c:pt>
                <c:pt idx="1">
                  <c:v>7.0286351803644481E-2</c:v>
                </c:pt>
                <c:pt idx="2">
                  <c:v>6.8975903614457837E-2</c:v>
                </c:pt>
                <c:pt idx="3">
                  <c:v>4.8534798534798536E-2</c:v>
                </c:pt>
                <c:pt idx="6">
                  <c:v>4.3774319066147857E-2</c:v>
                </c:pt>
                <c:pt idx="7">
                  <c:v>0.10888939670932359</c:v>
                </c:pt>
                <c:pt idx="8">
                  <c:v>8.5189258546421037E-2</c:v>
                </c:pt>
                <c:pt idx="9">
                  <c:v>5.2518579686209745E-2</c:v>
                </c:pt>
                <c:pt idx="10">
                  <c:v>5.3760726905603233E-2</c:v>
                </c:pt>
                <c:pt idx="11">
                  <c:v>3.4384362961906119E-2</c:v>
                </c:pt>
                <c:pt idx="12">
                  <c:v>5.6743041673073966E-2</c:v>
                </c:pt>
                <c:pt idx="13">
                  <c:v>7.1558520315342627E-2</c:v>
                </c:pt>
                <c:pt idx="14">
                  <c:v>4.1919286923555545E-2</c:v>
                </c:pt>
                <c:pt idx="15">
                  <c:v>0.11247395058052992</c:v>
                </c:pt>
                <c:pt idx="16">
                  <c:v>0.10569848939967785</c:v>
                </c:pt>
                <c:pt idx="17">
                  <c:v>7.7761846010203736E-2</c:v>
                </c:pt>
                <c:pt idx="18">
                  <c:v>0.12387766554433222</c:v>
                </c:pt>
                <c:pt idx="19">
                  <c:v>7.2853594162397145E-2</c:v>
                </c:pt>
                <c:pt idx="20">
                  <c:v>9.4590237926365339E-2</c:v>
                </c:pt>
                <c:pt idx="21">
                  <c:v>8.0643181539216888E-2</c:v>
                </c:pt>
                <c:pt idx="22">
                  <c:v>0.13241544447770129</c:v>
                </c:pt>
                <c:pt idx="23">
                  <c:v>0.12774566473988438</c:v>
                </c:pt>
                <c:pt idx="26">
                  <c:v>7.6009501187648459E-2</c:v>
                </c:pt>
                <c:pt idx="28">
                  <c:v>1.9553072625698324E-2</c:v>
                </c:pt>
                <c:pt idx="30">
                  <c:v>7.2499999999999995E-2</c:v>
                </c:pt>
                <c:pt idx="32">
                  <c:v>6.6037735849056603E-2</c:v>
                </c:pt>
                <c:pt idx="33">
                  <c:v>5.2051566398669251E-2</c:v>
                </c:pt>
                <c:pt idx="34">
                  <c:v>5.8975304091411725E-2</c:v>
                </c:pt>
                <c:pt idx="35">
                  <c:v>9.5134350036310822E-2</c:v>
                </c:pt>
                <c:pt idx="36">
                  <c:v>6.3945803040317245E-2</c:v>
                </c:pt>
                <c:pt idx="37">
                  <c:v>0.14732884070710031</c:v>
                </c:pt>
                <c:pt idx="38">
                  <c:v>8.0599913681484683E-2</c:v>
                </c:pt>
                <c:pt idx="39">
                  <c:v>8.9484536082474225E-2</c:v>
                </c:pt>
                <c:pt idx="40">
                  <c:v>8.7256748273697421E-2</c:v>
                </c:pt>
                <c:pt idx="41">
                  <c:v>9.6435100548446076E-2</c:v>
                </c:pt>
                <c:pt idx="42">
                  <c:v>8.4808058807514297E-2</c:v>
                </c:pt>
                <c:pt idx="43">
                  <c:v>8.3926645091693633E-2</c:v>
                </c:pt>
                <c:pt idx="44">
                  <c:v>7.765884764290594E-2</c:v>
                </c:pt>
                <c:pt idx="45">
                  <c:v>0.1045674368619022</c:v>
                </c:pt>
                <c:pt idx="46">
                  <c:v>0.13471410869180386</c:v>
                </c:pt>
                <c:pt idx="47">
                  <c:v>6.5818254126068801E-2</c:v>
                </c:pt>
                <c:pt idx="49">
                  <c:v>6.5058032987171652E-2</c:v>
                </c:pt>
                <c:pt idx="51">
                  <c:v>8.4980922650017346E-2</c:v>
                </c:pt>
                <c:pt idx="53">
                  <c:v>6.1850027367268745E-2</c:v>
                </c:pt>
                <c:pt idx="54">
                  <c:v>7.7839217354317314E-2</c:v>
                </c:pt>
                <c:pt idx="58">
                  <c:v>3.8829591461170411E-2</c:v>
                </c:pt>
              </c:numCache>
            </c:numRef>
          </c:xVal>
          <c:yVal>
            <c:numRef>
              <c:f>'2019-2020'!$Y$4:$Y$63</c:f>
              <c:numCache>
                <c:formatCode>0.00%</c:formatCode>
                <c:ptCount val="60"/>
                <c:pt idx="0">
                  <c:v>0.14560000000000001</c:v>
                </c:pt>
                <c:pt idx="1">
                  <c:v>0.77669999999999995</c:v>
                </c:pt>
                <c:pt idx="7">
                  <c:v>9.0399999999999994E-2</c:v>
                </c:pt>
                <c:pt idx="8">
                  <c:v>0.1326</c:v>
                </c:pt>
                <c:pt idx="9">
                  <c:v>0.1825</c:v>
                </c:pt>
                <c:pt idx="10">
                  <c:v>0.2329</c:v>
                </c:pt>
                <c:pt idx="12">
                  <c:v>0.28270000000000001</c:v>
                </c:pt>
                <c:pt idx="13">
                  <c:v>7.8399999999999997E-2</c:v>
                </c:pt>
                <c:pt idx="14">
                  <c:v>0.15529999999999999</c:v>
                </c:pt>
                <c:pt idx="15">
                  <c:v>0.1197</c:v>
                </c:pt>
                <c:pt idx="16">
                  <c:v>0.16320000000000001</c:v>
                </c:pt>
                <c:pt idx="17">
                  <c:v>0.1736</c:v>
                </c:pt>
                <c:pt idx="18">
                  <c:v>0.2266</c:v>
                </c:pt>
                <c:pt idx="19">
                  <c:v>0.22770000000000001</c:v>
                </c:pt>
                <c:pt idx="20">
                  <c:v>0.15429999999999999</c:v>
                </c:pt>
                <c:pt idx="21">
                  <c:v>0.22559999999999999</c:v>
                </c:pt>
                <c:pt idx="22">
                  <c:v>0.16189999999999999</c:v>
                </c:pt>
                <c:pt idx="23">
                  <c:v>6.13E-2</c:v>
                </c:pt>
                <c:pt idx="30">
                  <c:v>0.23619999999999999</c:v>
                </c:pt>
                <c:pt idx="32">
                  <c:v>0.15290000000000001</c:v>
                </c:pt>
                <c:pt idx="33">
                  <c:v>0.2135</c:v>
                </c:pt>
                <c:pt idx="34">
                  <c:v>0.1608</c:v>
                </c:pt>
                <c:pt idx="35">
                  <c:v>0.43030000000000002</c:v>
                </c:pt>
                <c:pt idx="36">
                  <c:v>0.22220000000000001</c:v>
                </c:pt>
                <c:pt idx="37">
                  <c:v>0.221</c:v>
                </c:pt>
                <c:pt idx="38">
                  <c:v>0.19309999999999999</c:v>
                </c:pt>
                <c:pt idx="39">
                  <c:v>0.12959999999999999</c:v>
                </c:pt>
                <c:pt idx="42">
                  <c:v>0.1484</c:v>
                </c:pt>
                <c:pt idx="43">
                  <c:v>0.13869999999999999</c:v>
                </c:pt>
                <c:pt idx="44">
                  <c:v>0.18429999999999999</c:v>
                </c:pt>
                <c:pt idx="45">
                  <c:v>0.1313</c:v>
                </c:pt>
                <c:pt idx="46">
                  <c:v>0.2636</c:v>
                </c:pt>
                <c:pt idx="47">
                  <c:v>0.1012</c:v>
                </c:pt>
                <c:pt idx="49">
                  <c:v>0.35370000000000001</c:v>
                </c:pt>
                <c:pt idx="51">
                  <c:v>0.1573</c:v>
                </c:pt>
                <c:pt idx="53">
                  <c:v>0.28620000000000001</c:v>
                </c:pt>
                <c:pt idx="54">
                  <c:v>8.9300000000000004E-2</c:v>
                </c:pt>
                <c:pt idx="58">
                  <c:v>0.29459999999999997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1F2-4D94-851E-C42996805E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8556976"/>
        <c:axId val="440795824"/>
      </c:scatterChart>
      <c:valAx>
        <c:axId val="538556976"/>
        <c:scaling>
          <c:orientation val="minMax"/>
          <c:max val="0.16000000000000003"/>
          <c:min val="2.0000000000000004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0">
                    <a:solidFill>
                      <a:schemeClr val="tx1"/>
                    </a:solidFill>
                  </a:rPr>
                  <a:t>Percentag</a:t>
                </a:r>
                <a:r>
                  <a:rPr lang="en-US" sz="1800" b="0" baseline="0">
                    <a:solidFill>
                      <a:schemeClr val="tx1"/>
                    </a:solidFill>
                  </a:rPr>
                  <a:t>e of Students in FI 2009/10</a:t>
                </a:r>
                <a:endParaRPr lang="en-US" sz="1800" b="0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795824"/>
        <c:crosses val="autoZero"/>
        <c:crossBetween val="midCat"/>
      </c:valAx>
      <c:valAx>
        <c:axId val="440795824"/>
        <c:scaling>
          <c:orientation val="minMax"/>
          <c:max val="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0">
                    <a:solidFill>
                      <a:schemeClr val="tx1"/>
                    </a:solidFill>
                  </a:rPr>
                  <a:t>Average</a:t>
                </a:r>
                <a:r>
                  <a:rPr lang="en-US" sz="1800" b="0" baseline="0">
                    <a:solidFill>
                      <a:schemeClr val="tx1"/>
                    </a:solidFill>
                  </a:rPr>
                  <a:t> Grade 1-5 Percentage Attrition of the Past 5 Cohorts</a:t>
                </a:r>
                <a:endParaRPr lang="en-US" sz="1800" b="0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8556976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solidFill>
                  <a:schemeClr val="tx1"/>
                </a:solidFill>
              </a:rPr>
              <a:t>Figure 2. Average Grade 7-12</a:t>
            </a:r>
            <a:r>
              <a:rPr lang="en-US" sz="1800" b="1" baseline="0">
                <a:solidFill>
                  <a:schemeClr val="tx1"/>
                </a:solidFill>
              </a:rPr>
              <a:t> Attrition Rate of 5 Cohorts (Ending 2014/15 - 2019/20) vs Proportion of Student in FI (2009/10). Outliers removed</a:t>
            </a:r>
            <a:endParaRPr lang="en-US" sz="18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Average 7-12 Attrition % Student FI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'2019-2020'!$V$4:$V$63</c:f>
              <c:numCache>
                <c:formatCode>0.00%</c:formatCode>
                <c:ptCount val="60"/>
                <c:pt idx="0">
                  <c:v>7.5736929419121662E-2</c:v>
                </c:pt>
                <c:pt idx="1">
                  <c:v>7.0286351803644481E-2</c:v>
                </c:pt>
                <c:pt idx="2">
                  <c:v>6.8975903614457837E-2</c:v>
                </c:pt>
                <c:pt idx="3">
                  <c:v>4.8534798534798536E-2</c:v>
                </c:pt>
                <c:pt idx="6">
                  <c:v>4.3774319066147857E-2</c:v>
                </c:pt>
                <c:pt idx="7">
                  <c:v>0.10888939670932359</c:v>
                </c:pt>
                <c:pt idx="8">
                  <c:v>8.5189258546421037E-2</c:v>
                </c:pt>
                <c:pt idx="9">
                  <c:v>5.2518579686209745E-2</c:v>
                </c:pt>
                <c:pt idx="10">
                  <c:v>5.3760726905603233E-2</c:v>
                </c:pt>
                <c:pt idx="11">
                  <c:v>3.4384362961906119E-2</c:v>
                </c:pt>
                <c:pt idx="12">
                  <c:v>5.6743041673073966E-2</c:v>
                </c:pt>
                <c:pt idx="13">
                  <c:v>7.1558520315342627E-2</c:v>
                </c:pt>
                <c:pt idx="14">
                  <c:v>4.1919286923555545E-2</c:v>
                </c:pt>
                <c:pt idx="15">
                  <c:v>0.11247395058052992</c:v>
                </c:pt>
                <c:pt idx="16">
                  <c:v>0.10569848939967785</c:v>
                </c:pt>
                <c:pt idx="17">
                  <c:v>7.7761846010203736E-2</c:v>
                </c:pt>
                <c:pt idx="18">
                  <c:v>0.12387766554433222</c:v>
                </c:pt>
                <c:pt idx="19">
                  <c:v>7.2853594162397145E-2</c:v>
                </c:pt>
                <c:pt idx="20">
                  <c:v>9.4590237926365339E-2</c:v>
                </c:pt>
                <c:pt idx="21">
                  <c:v>8.0643181539216888E-2</c:v>
                </c:pt>
                <c:pt idx="22">
                  <c:v>0.13241544447770129</c:v>
                </c:pt>
                <c:pt idx="23">
                  <c:v>0.12774566473988438</c:v>
                </c:pt>
                <c:pt idx="26">
                  <c:v>7.6009501187648459E-2</c:v>
                </c:pt>
                <c:pt idx="28">
                  <c:v>1.9553072625698324E-2</c:v>
                </c:pt>
                <c:pt idx="30">
                  <c:v>7.2499999999999995E-2</c:v>
                </c:pt>
                <c:pt idx="32">
                  <c:v>6.6037735849056603E-2</c:v>
                </c:pt>
                <c:pt idx="33">
                  <c:v>5.2051566398669251E-2</c:v>
                </c:pt>
                <c:pt idx="34">
                  <c:v>5.8975304091411725E-2</c:v>
                </c:pt>
                <c:pt idx="35">
                  <c:v>9.5134350036310822E-2</c:v>
                </c:pt>
                <c:pt idx="36">
                  <c:v>6.3945803040317245E-2</c:v>
                </c:pt>
                <c:pt idx="37">
                  <c:v>0.14732884070710031</c:v>
                </c:pt>
                <c:pt idx="38">
                  <c:v>8.0599913681484683E-2</c:v>
                </c:pt>
                <c:pt idx="39">
                  <c:v>8.9484536082474225E-2</c:v>
                </c:pt>
                <c:pt idx="40">
                  <c:v>8.7256748273697421E-2</c:v>
                </c:pt>
                <c:pt idx="41">
                  <c:v>9.6435100548446076E-2</c:v>
                </c:pt>
                <c:pt idx="42">
                  <c:v>8.4808058807514297E-2</c:v>
                </c:pt>
                <c:pt idx="43">
                  <c:v>8.3926645091693633E-2</c:v>
                </c:pt>
                <c:pt idx="44">
                  <c:v>7.765884764290594E-2</c:v>
                </c:pt>
                <c:pt idx="45">
                  <c:v>0.1045674368619022</c:v>
                </c:pt>
                <c:pt idx="46">
                  <c:v>0.13471410869180386</c:v>
                </c:pt>
                <c:pt idx="47">
                  <c:v>6.5818254126068801E-2</c:v>
                </c:pt>
                <c:pt idx="49">
                  <c:v>6.5058032987171652E-2</c:v>
                </c:pt>
                <c:pt idx="51">
                  <c:v>8.4980922650017346E-2</c:v>
                </c:pt>
                <c:pt idx="53">
                  <c:v>6.1850027367268745E-2</c:v>
                </c:pt>
                <c:pt idx="54">
                  <c:v>7.7839217354317314E-2</c:v>
                </c:pt>
                <c:pt idx="58">
                  <c:v>3.8829591461170411E-2</c:v>
                </c:pt>
              </c:numCache>
            </c:numRef>
          </c:xVal>
          <c:yVal>
            <c:numRef>
              <c:f>'2019-2020'!$AA$4:$AA$63</c:f>
              <c:numCache>
                <c:formatCode>0.00%</c:formatCode>
                <c:ptCount val="60"/>
                <c:pt idx="0">
                  <c:v>0.39529999999999998</c:v>
                </c:pt>
                <c:pt idx="1">
                  <c:v>0.35859999999999997</c:v>
                </c:pt>
                <c:pt idx="2">
                  <c:v>0.51480000000000004</c:v>
                </c:pt>
                <c:pt idx="3">
                  <c:v>0.50239999999999996</c:v>
                </c:pt>
                <c:pt idx="6">
                  <c:v>0.46579999999999999</c:v>
                </c:pt>
                <c:pt idx="7">
                  <c:v>0.32969999999999999</c:v>
                </c:pt>
                <c:pt idx="8">
                  <c:v>0.29260000000000003</c:v>
                </c:pt>
                <c:pt idx="9">
                  <c:v>0.42330000000000001</c:v>
                </c:pt>
                <c:pt idx="10">
                  <c:v>0.42880000000000001</c:v>
                </c:pt>
                <c:pt idx="11">
                  <c:v>0.33800000000000002</c:v>
                </c:pt>
                <c:pt idx="12">
                  <c:v>0.25480000000000003</c:v>
                </c:pt>
                <c:pt idx="13">
                  <c:v>0.51080000000000003</c:v>
                </c:pt>
                <c:pt idx="14">
                  <c:v>0.28110000000000002</c:v>
                </c:pt>
                <c:pt idx="15">
                  <c:v>0.36749999999999999</c:v>
                </c:pt>
                <c:pt idx="16">
                  <c:v>0.24890000000000001</c:v>
                </c:pt>
                <c:pt idx="17">
                  <c:v>0.47870000000000001</c:v>
                </c:pt>
                <c:pt idx="18">
                  <c:v>0.38059999999999999</c:v>
                </c:pt>
                <c:pt idx="19">
                  <c:v>0.47420000000000001</c:v>
                </c:pt>
                <c:pt idx="20">
                  <c:v>0.52869999999999995</c:v>
                </c:pt>
                <c:pt idx="21">
                  <c:v>0.29370000000000002</c:v>
                </c:pt>
                <c:pt idx="22">
                  <c:v>0.34210000000000002</c:v>
                </c:pt>
                <c:pt idx="23">
                  <c:v>0.38479999999999998</c:v>
                </c:pt>
                <c:pt idx="26">
                  <c:v>0.57999999999999996</c:v>
                </c:pt>
                <c:pt idx="30">
                  <c:v>0</c:v>
                </c:pt>
                <c:pt idx="33">
                  <c:v>0.20730000000000001</c:v>
                </c:pt>
                <c:pt idx="35">
                  <c:v>0.46239999999999998</c:v>
                </c:pt>
                <c:pt idx="36">
                  <c:v>0.47960000000000003</c:v>
                </c:pt>
                <c:pt idx="37">
                  <c:v>0.3856</c:v>
                </c:pt>
                <c:pt idx="38">
                  <c:v>0.24510000000000001</c:v>
                </c:pt>
                <c:pt idx="41">
                  <c:v>0.43</c:v>
                </c:pt>
                <c:pt idx="42">
                  <c:v>0.48220000000000002</c:v>
                </c:pt>
                <c:pt idx="43">
                  <c:v>0.45029999999999998</c:v>
                </c:pt>
                <c:pt idx="44">
                  <c:v>6.1800000000000001E-2</c:v>
                </c:pt>
                <c:pt idx="45">
                  <c:v>0.2591</c:v>
                </c:pt>
                <c:pt idx="46">
                  <c:v>0.3306</c:v>
                </c:pt>
                <c:pt idx="47">
                  <c:v>0.19139999999999999</c:v>
                </c:pt>
                <c:pt idx="49">
                  <c:v>0.54800000000000004</c:v>
                </c:pt>
                <c:pt idx="51">
                  <c:v>0.41420000000000001</c:v>
                </c:pt>
                <c:pt idx="53">
                  <c:v>0.31259999999999999</c:v>
                </c:pt>
                <c:pt idx="54">
                  <c:v>0.27929999999999999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DCE-413E-A657-364B223F2B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3454832"/>
        <c:axId val="393681200"/>
      </c:scatterChart>
      <c:valAx>
        <c:axId val="283454832"/>
        <c:scaling>
          <c:orientation val="minMax"/>
          <c:min val="2.0000000000000004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>
                    <a:solidFill>
                      <a:schemeClr val="tx1"/>
                    </a:solidFill>
                  </a:rPr>
                  <a:t>Percentage</a:t>
                </a:r>
                <a:r>
                  <a:rPr lang="en-US" sz="1800" baseline="0">
                    <a:solidFill>
                      <a:schemeClr val="tx1"/>
                    </a:solidFill>
                  </a:rPr>
                  <a:t> of Students in FI in 2009/10</a:t>
                </a:r>
                <a:endParaRPr lang="en-US" sz="1800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681200"/>
        <c:crosses val="autoZero"/>
        <c:crossBetween val="midCat"/>
      </c:valAx>
      <c:valAx>
        <c:axId val="393681200"/>
        <c:scaling>
          <c:orientation val="minMax"/>
          <c:min val="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>
                    <a:solidFill>
                      <a:schemeClr val="tx1"/>
                    </a:solidFill>
                  </a:rPr>
                  <a:t>Average</a:t>
                </a:r>
                <a:r>
                  <a:rPr lang="en-US" sz="1800" baseline="0">
                    <a:solidFill>
                      <a:schemeClr val="tx1"/>
                    </a:solidFill>
                  </a:rPr>
                  <a:t> Grade 7-12 Percentage Attrition of the Past 5 Cohorts </a:t>
                </a:r>
                <a:endParaRPr lang="en-US" sz="1800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3454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2000" b="1">
                <a:solidFill>
                  <a:schemeClr val="tx1"/>
                </a:solidFill>
              </a:rPr>
              <a:t>Figure 1. Change</a:t>
            </a:r>
            <a:r>
              <a:rPr lang="en-US" sz="2000" b="1" baseline="0">
                <a:solidFill>
                  <a:schemeClr val="tx1"/>
                </a:solidFill>
              </a:rPr>
              <a:t> in Proportion of Students in FI vs Percentage Change in Total Enrolment for BC SDs (2019/20 - 2020/21, 2 years). Outliers removed</a:t>
            </a:r>
            <a:endParaRPr lang="en-US" sz="20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% Change in FI enrolment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20"/>
            <c:marker>
              <c:symbol val="circle"/>
              <c:size val="10"/>
              <c:spPr>
                <a:solidFill>
                  <a:schemeClr val="accent1"/>
                </a:solidFill>
                <a:ln w="12700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1188-4E03-AC1A-C2F96365B642}"/>
              </c:ext>
            </c:extLst>
          </c:dPt>
          <c:xVal>
            <c:numRef>
              <c:f>'2020-2021'!$L$4:$L$63</c:f>
              <c:numCache>
                <c:formatCode>0.00%</c:formatCode>
                <c:ptCount val="60"/>
                <c:pt idx="0">
                  <c:v>-2.7510075346066233E-2</c:v>
                </c:pt>
                <c:pt idx="1">
                  <c:v>-2.3133235724743777E-2</c:v>
                </c:pt>
                <c:pt idx="2">
                  <c:v>-1.8341307814992026E-2</c:v>
                </c:pt>
                <c:pt idx="5">
                  <c:v>-2.2344966105950288E-2</c:v>
                </c:pt>
                <c:pt idx="6">
                  <c:v>-2.8087332272003638E-2</c:v>
                </c:pt>
                <c:pt idx="7">
                  <c:v>6.3768365720194755E-3</c:v>
                </c:pt>
                <c:pt idx="8">
                  <c:v>-3.8105489773950486E-2</c:v>
                </c:pt>
                <c:pt idx="9">
                  <c:v>-1.4705882352941176E-2</c:v>
                </c:pt>
                <c:pt idx="10">
                  <c:v>-1.1140235910878113E-2</c:v>
                </c:pt>
                <c:pt idx="11">
                  <c:v>-3.1929112420177222E-2</c:v>
                </c:pt>
                <c:pt idx="12">
                  <c:v>-1.1447151574540109E-2</c:v>
                </c:pt>
                <c:pt idx="13">
                  <c:v>1.2036240989352555E-3</c:v>
                </c:pt>
                <c:pt idx="14">
                  <c:v>-2.5538037287932379E-2</c:v>
                </c:pt>
                <c:pt idx="15">
                  <c:v>-1.981606143927183E-2</c:v>
                </c:pt>
                <c:pt idx="16">
                  <c:v>-1.2635483683996985E-2</c:v>
                </c:pt>
                <c:pt idx="17">
                  <c:v>9.4743672939649574E-3</c:v>
                </c:pt>
                <c:pt idx="18">
                  <c:v>-3.5829493087557604E-2</c:v>
                </c:pt>
                <c:pt idx="19">
                  <c:v>-1.8975087130502132E-2</c:v>
                </c:pt>
                <c:pt idx="20">
                  <c:v>-1.9485184076623766E-2</c:v>
                </c:pt>
                <c:pt idx="21">
                  <c:v>-2.7005413385826772E-2</c:v>
                </c:pt>
                <c:pt idx="22">
                  <c:v>-3.4907319713164658E-2</c:v>
                </c:pt>
                <c:pt idx="24">
                  <c:v>0.12330235882773409</c:v>
                </c:pt>
                <c:pt idx="25">
                  <c:v>-6.5271645229410639E-3</c:v>
                </c:pt>
                <c:pt idx="27">
                  <c:v>-4.9250535331905779E-2</c:v>
                </c:pt>
                <c:pt idx="29">
                  <c:v>-5.6156620298815046E-2</c:v>
                </c:pt>
                <c:pt idx="30">
                  <c:v>-2.44104261481175E-2</c:v>
                </c:pt>
                <c:pt idx="31">
                  <c:v>2.5641025641025641E-3</c:v>
                </c:pt>
                <c:pt idx="32">
                  <c:v>-2.4210526315789474E-2</c:v>
                </c:pt>
                <c:pt idx="33">
                  <c:v>-2.7571115973741796E-2</c:v>
                </c:pt>
                <c:pt idx="34">
                  <c:v>-2.3574561403508772E-2</c:v>
                </c:pt>
                <c:pt idx="35">
                  <c:v>-3.0695665586919635E-2</c:v>
                </c:pt>
                <c:pt idx="36">
                  <c:v>-5.2705997074597756E-2</c:v>
                </c:pt>
                <c:pt idx="37">
                  <c:v>8.2934336525307805E-3</c:v>
                </c:pt>
                <c:pt idx="38">
                  <c:v>-1.554346619296103E-2</c:v>
                </c:pt>
                <c:pt idx="39">
                  <c:v>-5.5051813471502592E-2</c:v>
                </c:pt>
                <c:pt idx="40">
                  <c:v>-1.8560277536860365E-2</c:v>
                </c:pt>
                <c:pt idx="41">
                  <c:v>-2.9757879074800487E-3</c:v>
                </c:pt>
                <c:pt idx="42">
                  <c:v>-7.0711678832116789E-3</c:v>
                </c:pt>
                <c:pt idx="43">
                  <c:v>-1.2700881285640227E-2</c:v>
                </c:pt>
                <c:pt idx="44">
                  <c:v>9.4974401838888306E-2</c:v>
                </c:pt>
                <c:pt idx="45">
                  <c:v>-1.6949152542372881E-2</c:v>
                </c:pt>
                <c:pt idx="46">
                  <c:v>-1.2126744034424305E-2</c:v>
                </c:pt>
                <c:pt idx="48">
                  <c:v>-1.876759461995621E-3</c:v>
                </c:pt>
                <c:pt idx="50">
                  <c:v>-2.1906596051998073E-2</c:v>
                </c:pt>
                <c:pt idx="52">
                  <c:v>-9.6391046139789854E-2</c:v>
                </c:pt>
                <c:pt idx="53">
                  <c:v>-4.6896982960762859E-4</c:v>
                </c:pt>
                <c:pt idx="57">
                  <c:v>-8.027522935779817E-3</c:v>
                </c:pt>
                <c:pt idx="59">
                  <c:v>-1.33892840587309E-2</c:v>
                </c:pt>
              </c:numCache>
            </c:numRef>
          </c:xVal>
          <c:yVal>
            <c:numRef>
              <c:f>'2018-2019'!$S$4:$S$63</c:f>
              <c:numCache>
                <c:formatCode>0.00%</c:formatCode>
                <c:ptCount val="60"/>
                <c:pt idx="0">
                  <c:v>-6.4503516862157717E-5</c:v>
                </c:pt>
                <c:pt idx="1">
                  <c:v>4.3241892407170496E-3</c:v>
                </c:pt>
                <c:pt idx="2">
                  <c:v>2.9937566415719138E-3</c:v>
                </c:pt>
                <c:pt idx="3">
                  <c:v>7.1868817182844935E-5</c:v>
                </c:pt>
                <c:pt idx="6">
                  <c:v>-1.4122841844486825E-2</c:v>
                </c:pt>
                <c:pt idx="7">
                  <c:v>3.6978729226813667E-4</c:v>
                </c:pt>
                <c:pt idx="8">
                  <c:v>9.0688808263290899E-4</c:v>
                </c:pt>
                <c:pt idx="9">
                  <c:v>2.7612646054923223E-3</c:v>
                </c:pt>
                <c:pt idx="10">
                  <c:v>-2.179806983311397E-3</c:v>
                </c:pt>
                <c:pt idx="11">
                  <c:v>2.679900503597045E-3</c:v>
                </c:pt>
                <c:pt idx="12">
                  <c:v>-7.1762663954358374E-4</c:v>
                </c:pt>
                <c:pt idx="13">
                  <c:v>-1.0286683244721262E-3</c:v>
                </c:pt>
                <c:pt idx="14">
                  <c:v>-6.9653227657780897E-4</c:v>
                </c:pt>
                <c:pt idx="15">
                  <c:v>2.0966143568503792E-3</c:v>
                </c:pt>
                <c:pt idx="16">
                  <c:v>-5.0885247281758084E-4</c:v>
                </c:pt>
                <c:pt idx="17">
                  <c:v>-1.2374815787466048E-3</c:v>
                </c:pt>
                <c:pt idx="18">
                  <c:v>2.9550798995243432E-3</c:v>
                </c:pt>
                <c:pt idx="19">
                  <c:v>-1.1738162074810266E-3</c:v>
                </c:pt>
                <c:pt idx="20">
                  <c:v>9.0099947013504156E-4</c:v>
                </c:pt>
                <c:pt idx="21">
                  <c:v>-2.7893166143582726E-3</c:v>
                </c:pt>
                <c:pt idx="22">
                  <c:v>3.2750309446774595E-3</c:v>
                </c:pt>
                <c:pt idx="23">
                  <c:v>-1.5605637829437524E-3</c:v>
                </c:pt>
                <c:pt idx="25">
                  <c:v>9.315338452680344E-4</c:v>
                </c:pt>
                <c:pt idx="26">
                  <c:v>5.9378184126319677E-3</c:v>
                </c:pt>
                <c:pt idx="28">
                  <c:v>-1.1554621848739496E-2</c:v>
                </c:pt>
                <c:pt idx="30">
                  <c:v>5.2160121090399358E-3</c:v>
                </c:pt>
                <c:pt idx="31">
                  <c:v>-3.2410796900888906E-3</c:v>
                </c:pt>
                <c:pt idx="32">
                  <c:v>3.024179585479625E-4</c:v>
                </c:pt>
                <c:pt idx="33">
                  <c:v>1.704535768133314E-3</c:v>
                </c:pt>
                <c:pt idx="34">
                  <c:v>2.0930862743999412E-4</c:v>
                </c:pt>
                <c:pt idx="35">
                  <c:v>-1.0819482297544564E-2</c:v>
                </c:pt>
                <c:pt idx="36">
                  <c:v>2.4305476453765629E-3</c:v>
                </c:pt>
                <c:pt idx="37">
                  <c:v>-1.340145725391706E-4</c:v>
                </c:pt>
                <c:pt idx="38">
                  <c:v>8.4786500479794302E-4</c:v>
                </c:pt>
                <c:pt idx="39">
                  <c:v>-1.828857249677393E-3</c:v>
                </c:pt>
                <c:pt idx="40">
                  <c:v>1.5363979081835524E-2</c:v>
                </c:pt>
                <c:pt idx="41">
                  <c:v>-1.5685364856115047E-3</c:v>
                </c:pt>
                <c:pt idx="42">
                  <c:v>-1.0175136422312658E-3</c:v>
                </c:pt>
                <c:pt idx="43">
                  <c:v>2.6503941622752492E-3</c:v>
                </c:pt>
                <c:pt idx="44">
                  <c:v>4.5426847906038514E-3</c:v>
                </c:pt>
                <c:pt idx="45">
                  <c:v>-3.3983068539325534E-3</c:v>
                </c:pt>
                <c:pt idx="46">
                  <c:v>-7.13354419382356E-3</c:v>
                </c:pt>
                <c:pt idx="47">
                  <c:v>-8.0623147456070077E-4</c:v>
                </c:pt>
                <c:pt idx="49">
                  <c:v>4.6694911186396099E-3</c:v>
                </c:pt>
                <c:pt idx="51">
                  <c:v>-1.8599655201020082E-3</c:v>
                </c:pt>
                <c:pt idx="53">
                  <c:v>6.1283408408141504E-4</c:v>
                </c:pt>
                <c:pt idx="54">
                  <c:v>-1.0882432823376129E-2</c:v>
                </c:pt>
                <c:pt idx="58">
                  <c:v>1.2646664343271136E-3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188-4E03-AC1A-C2F96365B6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3584720"/>
        <c:axId val="463894352"/>
      </c:scatterChart>
      <c:valAx>
        <c:axId val="463584720"/>
        <c:scaling>
          <c:orientation val="minMax"/>
          <c:max val="0.30000000000000004"/>
          <c:min val="-0.3000000000000000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="0">
                    <a:solidFill>
                      <a:schemeClr val="tx1"/>
                    </a:solidFill>
                  </a:rPr>
                  <a:t>Change in Total Enrolment Compared</a:t>
                </a:r>
                <a:r>
                  <a:rPr lang="en-US" sz="2000" b="0" baseline="0">
                    <a:solidFill>
                      <a:schemeClr val="tx1"/>
                    </a:solidFill>
                  </a:rPr>
                  <a:t> to Previous Year</a:t>
                </a:r>
                <a:endParaRPr lang="en-US" sz="2000" b="0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3894352"/>
        <c:crosses val="autoZero"/>
        <c:crossBetween val="midCat"/>
      </c:valAx>
      <c:valAx>
        <c:axId val="463894352"/>
        <c:scaling>
          <c:orientation val="minMax"/>
          <c:min val="-1.000000000000000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="0">
                    <a:solidFill>
                      <a:schemeClr val="tx1"/>
                    </a:solidFill>
                  </a:rPr>
                  <a:t>Change</a:t>
                </a:r>
                <a:r>
                  <a:rPr lang="en-US" sz="2000" b="0" baseline="0">
                    <a:solidFill>
                      <a:schemeClr val="tx1"/>
                    </a:solidFill>
                  </a:rPr>
                  <a:t> in Proportion of Students in FI Compared to Previous Year</a:t>
                </a:r>
                <a:endParaRPr lang="en-US" sz="2000" b="0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low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3584720"/>
        <c:crosses val="autoZero"/>
        <c:crossBetween val="midCat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2000" b="1">
                <a:solidFill>
                  <a:schemeClr val="tx1"/>
                </a:solidFill>
              </a:rPr>
              <a:t>Figure</a:t>
            </a:r>
            <a:r>
              <a:rPr lang="en-US" sz="2000" b="1" baseline="0">
                <a:solidFill>
                  <a:schemeClr val="tx1"/>
                </a:solidFill>
              </a:rPr>
              <a:t> 2. Change in Proportion of Students in FI vs Percentage Change in Total Enrolment for BC SDs (2015/16 - 2020/21, 6 years). Outliers removed.</a:t>
            </a:r>
            <a:endParaRPr lang="en-US" sz="20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% Change Students in FI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'2020-2021'!$N$4:$N$63</c:f>
              <c:numCache>
                <c:formatCode>0.00%</c:formatCode>
                <c:ptCount val="60"/>
                <c:pt idx="0">
                  <c:v>2.853965900667161E-2</c:v>
                </c:pt>
                <c:pt idx="1">
                  <c:v>5.904761904761905E-2</c:v>
                </c:pt>
                <c:pt idx="2">
                  <c:v>-1.1443485243926922E-2</c:v>
                </c:pt>
                <c:pt idx="5">
                  <c:v>6.4807219031993435E-2</c:v>
                </c:pt>
                <c:pt idx="6">
                  <c:v>2.2490728556047373E-2</c:v>
                </c:pt>
                <c:pt idx="7">
                  <c:v>8.2244462978407928E-2</c:v>
                </c:pt>
                <c:pt idx="8">
                  <c:v>-2.6579520697167756E-2</c:v>
                </c:pt>
                <c:pt idx="9">
                  <c:v>-4.5027534823453189E-2</c:v>
                </c:pt>
                <c:pt idx="10">
                  <c:v>3.5847761421706967E-2</c:v>
                </c:pt>
                <c:pt idx="11">
                  <c:v>2.4303373140582445E-2</c:v>
                </c:pt>
                <c:pt idx="12">
                  <c:v>8.2000780031201245E-2</c:v>
                </c:pt>
                <c:pt idx="13">
                  <c:v>6.7012489075582868E-2</c:v>
                </c:pt>
                <c:pt idx="14">
                  <c:v>-3.9828431372549017E-3</c:v>
                </c:pt>
                <c:pt idx="15">
                  <c:v>-2.8976658995914149E-2</c:v>
                </c:pt>
                <c:pt idx="16">
                  <c:v>-3.1368460955269142E-2</c:v>
                </c:pt>
                <c:pt idx="17">
                  <c:v>5.94930160372478E-3</c:v>
                </c:pt>
                <c:pt idx="18">
                  <c:v>8.677835362179101E-3</c:v>
                </c:pt>
                <c:pt idx="19">
                  <c:v>1.3400893392892859E-2</c:v>
                </c:pt>
                <c:pt idx="20">
                  <c:v>-6.1284548405691579E-3</c:v>
                </c:pt>
                <c:pt idx="21">
                  <c:v>-2.2193372898120671E-2</c:v>
                </c:pt>
                <c:pt idx="22">
                  <c:v>-2.1804717498628633E-2</c:v>
                </c:pt>
                <c:pt idx="24">
                  <c:v>0.54903893543617543</c:v>
                </c:pt>
                <c:pt idx="25">
                  <c:v>7.2761194029850748E-2</c:v>
                </c:pt>
                <c:pt idx="27">
                  <c:v>-0.21276595744680851</c:v>
                </c:pt>
                <c:pt idx="29">
                  <c:v>-0.11583011583011583</c:v>
                </c:pt>
                <c:pt idx="30">
                  <c:v>-3.4793286942284077E-2</c:v>
                </c:pt>
                <c:pt idx="31">
                  <c:v>-5.3727008712487902E-2</c:v>
                </c:pt>
                <c:pt idx="32">
                  <c:v>-7.6994148444718203E-4</c:v>
                </c:pt>
                <c:pt idx="33">
                  <c:v>-1.8117543084401236E-2</c:v>
                </c:pt>
                <c:pt idx="34">
                  <c:v>3.426248548199768E-2</c:v>
                </c:pt>
                <c:pt idx="35">
                  <c:v>3.0327214684756584E-3</c:v>
                </c:pt>
                <c:pt idx="36">
                  <c:v>-1.4506720770986558E-2</c:v>
                </c:pt>
                <c:pt idx="37">
                  <c:v>0.15368812365486206</c:v>
                </c:pt>
                <c:pt idx="38">
                  <c:v>-5.2726048911824093E-3</c:v>
                </c:pt>
                <c:pt idx="39">
                  <c:v>-0.17987633501967398</c:v>
                </c:pt>
                <c:pt idx="40">
                  <c:v>-1.4800626850078356E-2</c:v>
                </c:pt>
                <c:pt idx="41">
                  <c:v>7.9209370424597358E-2</c:v>
                </c:pt>
                <c:pt idx="42">
                  <c:v>3.5442435775451954E-2</c:v>
                </c:pt>
                <c:pt idx="43">
                  <c:v>-1.2188796680497925E-2</c:v>
                </c:pt>
                <c:pt idx="44">
                  <c:v>0.27992183683439181</c:v>
                </c:pt>
                <c:pt idx="45">
                  <c:v>2.606049077420582E-2</c:v>
                </c:pt>
                <c:pt idx="46">
                  <c:v>5.1637978900610775E-2</c:v>
                </c:pt>
                <c:pt idx="48">
                  <c:v>5.8901609424257505E-2</c:v>
                </c:pt>
                <c:pt idx="50">
                  <c:v>6.836707862214042E-2</c:v>
                </c:pt>
                <c:pt idx="52">
                  <c:v>-0.10009099181073704</c:v>
                </c:pt>
                <c:pt idx="53">
                  <c:v>9.0010228435049439E-2</c:v>
                </c:pt>
                <c:pt idx="57">
                  <c:v>-3.8675261169148697E-2</c:v>
                </c:pt>
                <c:pt idx="59">
                  <c:v>2.6912887754843885E-2</c:v>
                </c:pt>
              </c:numCache>
            </c:numRef>
          </c:xVal>
          <c:yVal>
            <c:numRef>
              <c:f>'2020-2021'!$U$4:$U$63</c:f>
              <c:numCache>
                <c:formatCode>0.00%</c:formatCode>
                <c:ptCount val="60"/>
                <c:pt idx="0">
                  <c:v>1.3670787169675236E-2</c:v>
                </c:pt>
                <c:pt idx="1">
                  <c:v>1.1611853374443301E-2</c:v>
                </c:pt>
                <c:pt idx="2">
                  <c:v>4.522873352533277E-4</c:v>
                </c:pt>
                <c:pt idx="5">
                  <c:v>3.6274228499030711E-2</c:v>
                </c:pt>
                <c:pt idx="6">
                  <c:v>1.5198677718117615E-3</c:v>
                </c:pt>
                <c:pt idx="7">
                  <c:v>7.4343138047592988E-3</c:v>
                </c:pt>
                <c:pt idx="8">
                  <c:v>6.5702755786488515E-3</c:v>
                </c:pt>
                <c:pt idx="9">
                  <c:v>3.0089634871846294E-3</c:v>
                </c:pt>
                <c:pt idx="10">
                  <c:v>1.0839557889346714E-2</c:v>
                </c:pt>
                <c:pt idx="11">
                  <c:v>-6.2413657789132937E-3</c:v>
                </c:pt>
                <c:pt idx="12">
                  <c:v>-6.5665102949076098E-3</c:v>
                </c:pt>
                <c:pt idx="13">
                  <c:v>-6.958207010658829E-3</c:v>
                </c:pt>
                <c:pt idx="14">
                  <c:v>-8.726368508030713E-3</c:v>
                </c:pt>
                <c:pt idx="15">
                  <c:v>-1.751572457928996E-2</c:v>
                </c:pt>
                <c:pt idx="16">
                  <c:v>-1.8068558251571332E-3</c:v>
                </c:pt>
                <c:pt idx="17">
                  <c:v>6.0706195475931646E-3</c:v>
                </c:pt>
                <c:pt idx="18">
                  <c:v>-3.6917994358857814E-3</c:v>
                </c:pt>
                <c:pt idx="19">
                  <c:v>5.3563307729287135E-3</c:v>
                </c:pt>
                <c:pt idx="20">
                  <c:v>2.607992042197152E-3</c:v>
                </c:pt>
                <c:pt idx="21">
                  <c:v>1.2087938192933328E-2</c:v>
                </c:pt>
                <c:pt idx="22">
                  <c:v>1.0191461364241622E-2</c:v>
                </c:pt>
                <c:pt idx="24">
                  <c:v>1.5963251278353768E-3</c:v>
                </c:pt>
                <c:pt idx="25">
                  <c:v>4.0317975340687873E-2</c:v>
                </c:pt>
                <c:pt idx="27">
                  <c:v>-5.8510638297872342E-2</c:v>
                </c:pt>
                <c:pt idx="29">
                  <c:v>2.0034226366104094E-2</c:v>
                </c:pt>
                <c:pt idx="31">
                  <c:v>2.3723517775307429E-3</c:v>
                </c:pt>
                <c:pt idx="32">
                  <c:v>1.046415618044097E-2</c:v>
                </c:pt>
                <c:pt idx="33">
                  <c:v>1.2227979315828183E-2</c:v>
                </c:pt>
                <c:pt idx="34">
                  <c:v>-3.7140326885742592E-2</c:v>
                </c:pt>
                <c:pt idx="35">
                  <c:v>1.7353894891598137E-3</c:v>
                </c:pt>
                <c:pt idx="36">
                  <c:v>5.4137405843240893E-3</c:v>
                </c:pt>
                <c:pt idx="37">
                  <c:v>1.0674789369874996E-2</c:v>
                </c:pt>
                <c:pt idx="38">
                  <c:v>7.3042105358778475E-3</c:v>
                </c:pt>
                <c:pt idx="39">
                  <c:v>2.972074245220975E-2</c:v>
                </c:pt>
                <c:pt idx="40">
                  <c:v>-5.7123347543387715E-3</c:v>
                </c:pt>
                <c:pt idx="41">
                  <c:v>1.4626390907503117E-4</c:v>
                </c:pt>
                <c:pt idx="42">
                  <c:v>1.1797533247519185E-2</c:v>
                </c:pt>
                <c:pt idx="43">
                  <c:v>1.677071883691067E-3</c:v>
                </c:pt>
                <c:pt idx="44">
                  <c:v>-2.7854018354918963E-2</c:v>
                </c:pt>
                <c:pt idx="45">
                  <c:v>1.3856200631268134E-3</c:v>
                </c:pt>
                <c:pt idx="46">
                  <c:v>-4.1794509327506002E-3</c:v>
                </c:pt>
                <c:pt idx="48">
                  <c:v>2.0955527765294385E-3</c:v>
                </c:pt>
                <c:pt idx="50">
                  <c:v>-8.4470276811012823E-3</c:v>
                </c:pt>
                <c:pt idx="52">
                  <c:v>2.0737438483923704E-2</c:v>
                </c:pt>
                <c:pt idx="53">
                  <c:v>-1.169343361344663E-2</c:v>
                </c:pt>
                <c:pt idx="57">
                  <c:v>-1.1780344251195188E-2</c:v>
                </c:pt>
                <c:pt idx="59">
                  <c:v>-8.0267634117923981E-4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683-4375-BC07-5BDA0988A3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4298864"/>
        <c:axId val="443948640"/>
      </c:scatterChart>
      <c:valAx>
        <c:axId val="444298864"/>
        <c:scaling>
          <c:orientation val="minMax"/>
          <c:max val="0.15000000000000002"/>
          <c:min val="-0.1500000000000000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>
                    <a:solidFill>
                      <a:schemeClr val="tx1"/>
                    </a:solidFill>
                  </a:rPr>
                  <a:t>Change</a:t>
                </a:r>
                <a:r>
                  <a:rPr lang="en-US" sz="1800" b="1" baseline="0">
                    <a:solidFill>
                      <a:schemeClr val="tx1"/>
                    </a:solidFill>
                  </a:rPr>
                  <a:t> in Total Enrolment Compared to 5 Years Ago</a:t>
                </a:r>
                <a:endParaRPr lang="en-US" sz="1800" b="1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3948640"/>
        <c:crosses val="autoZero"/>
        <c:crossBetween val="midCat"/>
      </c:valAx>
      <c:valAx>
        <c:axId val="443948640"/>
        <c:scaling>
          <c:orientation val="minMax"/>
          <c:min val="-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>
                    <a:solidFill>
                      <a:schemeClr val="tx1"/>
                    </a:solidFill>
                  </a:rPr>
                  <a:t>Change</a:t>
                </a:r>
                <a:r>
                  <a:rPr lang="en-US" sz="1800" b="1" baseline="0">
                    <a:solidFill>
                      <a:schemeClr val="tx1"/>
                    </a:solidFill>
                  </a:rPr>
                  <a:t> in Proportions of Students in FI Compared to 5 Years Ago</a:t>
                </a:r>
                <a:endParaRPr lang="en-US" sz="1800" b="1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low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2988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2000" b="1">
                <a:solidFill>
                  <a:schemeClr val="tx1"/>
                </a:solidFill>
              </a:rPr>
              <a:t>Figure</a:t>
            </a:r>
            <a:r>
              <a:rPr lang="en-US" sz="2000" b="1" baseline="0">
                <a:solidFill>
                  <a:schemeClr val="tx1"/>
                </a:solidFill>
              </a:rPr>
              <a:t> 3. Change in Proportion of Students in FI vs Percentage change in Total Enrolment fo BC SDs (2010/11 - 2020/21, 11 years). Outliers removed</a:t>
            </a:r>
            <a:endParaRPr lang="en-US" sz="20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% Change of Students in FI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'2020-2021'!$P$4:$P$63</c:f>
              <c:numCache>
                <c:formatCode>0.00%</c:formatCode>
                <c:ptCount val="60"/>
                <c:pt idx="0">
                  <c:v>3.4482758620689655E-2</c:v>
                </c:pt>
                <c:pt idx="1">
                  <c:v>1.8937080024434942E-2</c:v>
                </c:pt>
                <c:pt idx="2">
                  <c:v>-9.9981721805885576E-2</c:v>
                </c:pt>
                <c:pt idx="5">
                  <c:v>-3.7330037082818297E-2</c:v>
                </c:pt>
                <c:pt idx="6">
                  <c:v>-2.4537776763296052E-2</c:v>
                </c:pt>
                <c:pt idx="7">
                  <c:v>7.2504362200385711E-2</c:v>
                </c:pt>
                <c:pt idx="8">
                  <c:v>-0.19057971014492753</c:v>
                </c:pt>
                <c:pt idx="9">
                  <c:v>-0.18088357877188108</c:v>
                </c:pt>
                <c:pt idx="10">
                  <c:v>-3.0067133266676187E-2</c:v>
                </c:pt>
                <c:pt idx="11">
                  <c:v>-1.6248302228482319E-2</c:v>
                </c:pt>
                <c:pt idx="12">
                  <c:v>0.12023016353725015</c:v>
                </c:pt>
                <c:pt idx="13">
                  <c:v>4.7304121643122983E-2</c:v>
                </c:pt>
                <c:pt idx="14">
                  <c:v>-1.221438988818668E-2</c:v>
                </c:pt>
                <c:pt idx="15">
                  <c:v>-0.10883151588293608</c:v>
                </c:pt>
                <c:pt idx="16">
                  <c:v>-0.12873363338788871</c:v>
                </c:pt>
                <c:pt idx="17">
                  <c:v>2.8972086254795609E-2</c:v>
                </c:pt>
                <c:pt idx="18">
                  <c:v>-2.1360358604560516E-2</c:v>
                </c:pt>
                <c:pt idx="19">
                  <c:v>-7.1199947743157618E-3</c:v>
                </c:pt>
                <c:pt idx="20">
                  <c:v>-1.1228154900244484E-2</c:v>
                </c:pt>
                <c:pt idx="21">
                  <c:v>-3.1533186382561841E-2</c:v>
                </c:pt>
                <c:pt idx="22">
                  <c:v>1.4940239043824702E-2</c:v>
                </c:pt>
                <c:pt idx="24">
                  <c:v>0.40062388591800357</c:v>
                </c:pt>
                <c:pt idx="25">
                  <c:v>0.23243629435579899</c:v>
                </c:pt>
                <c:pt idx="27">
                  <c:v>-0.37988826815642457</c:v>
                </c:pt>
                <c:pt idx="29">
                  <c:v>-0.21305841924398625</c:v>
                </c:pt>
                <c:pt idx="30">
                  <c:v>-0.18210197710718001</c:v>
                </c:pt>
                <c:pt idx="31">
                  <c:v>-0.17545339519190215</c:v>
                </c:pt>
                <c:pt idx="32">
                  <c:v>-8.1333616479082604E-2</c:v>
                </c:pt>
                <c:pt idx="33">
                  <c:v>-0.16119290298225747</c:v>
                </c:pt>
                <c:pt idx="34">
                  <c:v>-0.12330790056608418</c:v>
                </c:pt>
                <c:pt idx="35">
                  <c:v>6.9981270219649241E-2</c:v>
                </c:pt>
                <c:pt idx="36">
                  <c:v>-4.1820782166987223E-2</c:v>
                </c:pt>
                <c:pt idx="37">
                  <c:v>0.24701279475520779</c:v>
                </c:pt>
                <c:pt idx="38">
                  <c:v>-8.7099763203953462E-2</c:v>
                </c:pt>
                <c:pt idx="39">
                  <c:v>-9.3788819875776391E-2</c:v>
                </c:pt>
                <c:pt idx="40">
                  <c:v>-0.10953729933899906</c:v>
                </c:pt>
                <c:pt idx="41">
                  <c:v>3.3945854958619723E-2</c:v>
                </c:pt>
                <c:pt idx="42">
                  <c:v>-1.8931710615280595E-2</c:v>
                </c:pt>
                <c:pt idx="43">
                  <c:v>-9.8248106060606064E-2</c:v>
                </c:pt>
                <c:pt idx="44">
                  <c:v>5.2208835341365459E-2</c:v>
                </c:pt>
                <c:pt idx="45">
                  <c:v>-8.6381179930159896E-3</c:v>
                </c:pt>
                <c:pt idx="46">
                  <c:v>2.050128959724886E-3</c:v>
                </c:pt>
                <c:pt idx="48">
                  <c:v>-4.8339310774988308E-3</c:v>
                </c:pt>
                <c:pt idx="50">
                  <c:v>-3.169685414680648E-2</c:v>
                </c:pt>
                <c:pt idx="52">
                  <c:v>-0.26468401486988846</c:v>
                </c:pt>
                <c:pt idx="53">
                  <c:v>-8.5133781656889396E-2</c:v>
                </c:pt>
                <c:pt idx="57">
                  <c:v>-0.16890853189853958</c:v>
                </c:pt>
                <c:pt idx="59">
                  <c:v>-1.8720040337620356E-2</c:v>
                </c:pt>
              </c:numCache>
            </c:numRef>
          </c:xVal>
          <c:yVal>
            <c:numRef>
              <c:f>'2020-2021'!$W$4:$W$63</c:f>
              <c:numCache>
                <c:formatCode>0.00%</c:formatCode>
                <c:ptCount val="60"/>
                <c:pt idx="0">
                  <c:v>3.4948741845293577E-2</c:v>
                </c:pt>
                <c:pt idx="1">
                  <c:v>-1.9590985733099538E-2</c:v>
                </c:pt>
                <c:pt idx="2">
                  <c:v>7.3507368666126879E-3</c:v>
                </c:pt>
                <c:pt idx="5">
                  <c:v>5.8717192244669147E-2</c:v>
                </c:pt>
                <c:pt idx="6">
                  <c:v>2.3958945323930475E-2</c:v>
                </c:pt>
                <c:pt idx="7">
                  <c:v>2.5955341474822979E-2</c:v>
                </c:pt>
                <c:pt idx="8">
                  <c:v>2.7280467868125026E-2</c:v>
                </c:pt>
                <c:pt idx="9">
                  <c:v>9.8646993379361003E-3</c:v>
                </c:pt>
                <c:pt idx="10">
                  <c:v>1.8517955837901327E-2</c:v>
                </c:pt>
                <c:pt idx="11">
                  <c:v>2.7314747986825691E-3</c:v>
                </c:pt>
                <c:pt idx="12">
                  <c:v>-5.3255945165441854E-3</c:v>
                </c:pt>
                <c:pt idx="13">
                  <c:v>-7.4676757702824004E-4</c:v>
                </c:pt>
                <c:pt idx="14">
                  <c:v>1.3646823751324727E-3</c:v>
                </c:pt>
                <c:pt idx="15">
                  <c:v>1.7267400607786629E-2</c:v>
                </c:pt>
                <c:pt idx="16">
                  <c:v>1.7845605970570846E-2</c:v>
                </c:pt>
                <c:pt idx="17">
                  <c:v>1.5232140911484338E-2</c:v>
                </c:pt>
                <c:pt idx="18">
                  <c:v>1.3211115750256408E-2</c:v>
                </c:pt>
                <c:pt idx="19">
                  <c:v>1.2655704762592354E-2</c:v>
                </c:pt>
                <c:pt idx="20">
                  <c:v>3.2028254110589502E-2</c:v>
                </c:pt>
                <c:pt idx="21">
                  <c:v>2.7088208910848149E-2</c:v>
                </c:pt>
                <c:pt idx="22">
                  <c:v>2.9112485987635051E-2</c:v>
                </c:pt>
                <c:pt idx="25">
                  <c:v>0.12869436362234854</c:v>
                </c:pt>
                <c:pt idx="27">
                  <c:v>-1.9553072625698324E-2</c:v>
                </c:pt>
                <c:pt idx="29">
                  <c:v>4.3752532300904881E-2</c:v>
                </c:pt>
                <c:pt idx="31">
                  <c:v>3.5367036257592549E-2</c:v>
                </c:pt>
                <c:pt idx="32">
                  <c:v>3.7331500543857796E-2</c:v>
                </c:pt>
                <c:pt idx="33">
                  <c:v>2.7271300176450256E-2</c:v>
                </c:pt>
                <c:pt idx="34">
                  <c:v>-1.480797318704298E-2</c:v>
                </c:pt>
                <c:pt idx="35">
                  <c:v>-2.7917192282259709E-3</c:v>
                </c:pt>
                <c:pt idx="36">
                  <c:v>4.3508016676326089E-2</c:v>
                </c:pt>
                <c:pt idx="37">
                  <c:v>4.2230744987458185E-2</c:v>
                </c:pt>
                <c:pt idx="38">
                  <c:v>1.688203324438102E-2</c:v>
                </c:pt>
                <c:pt idx="39">
                  <c:v>3.1960119029880926E-2</c:v>
                </c:pt>
                <c:pt idx="40">
                  <c:v>7.9136195968438211E-3</c:v>
                </c:pt>
                <c:pt idx="41">
                  <c:v>2.2045217865108449E-2</c:v>
                </c:pt>
                <c:pt idx="42">
                  <c:v>1.9987303681978832E-2</c:v>
                </c:pt>
                <c:pt idx="43">
                  <c:v>1.0521022279768019E-2</c:v>
                </c:pt>
                <c:pt idx="44">
                  <c:v>1.068778932523988E-2</c:v>
                </c:pt>
                <c:pt idx="45">
                  <c:v>1.6072402937446689E-2</c:v>
                </c:pt>
                <c:pt idx="46">
                  <c:v>1.1410131800588946E-2</c:v>
                </c:pt>
                <c:pt idx="48">
                  <c:v>1.1471185600504072E-2</c:v>
                </c:pt>
                <c:pt idx="50">
                  <c:v>3.2395778171585898E-2</c:v>
                </c:pt>
                <c:pt idx="52">
                  <c:v>4.8390661589754955E-2</c:v>
                </c:pt>
                <c:pt idx="53">
                  <c:v>2.8406988183271864E-2</c:v>
                </c:pt>
                <c:pt idx="57">
                  <c:v>-5.0668005491551898E-4</c:v>
                </c:pt>
                <c:pt idx="59">
                  <c:v>1.6702616408689891E-2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AEC-4810-B396-433FA4E6C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1246928"/>
        <c:axId val="541248608"/>
      </c:scatterChart>
      <c:valAx>
        <c:axId val="541246928"/>
        <c:scaling>
          <c:orientation val="minMax"/>
          <c:max val="0.15000000000000002"/>
          <c:min val="-0.3000000000000000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="1">
                    <a:solidFill>
                      <a:schemeClr val="tx1"/>
                    </a:solidFill>
                  </a:rPr>
                  <a:t>Change</a:t>
                </a:r>
                <a:r>
                  <a:rPr lang="en-US" sz="2000" b="1" baseline="0">
                    <a:solidFill>
                      <a:schemeClr val="tx1"/>
                    </a:solidFill>
                  </a:rPr>
                  <a:t> in Total Enrolement Compared to 10 Years Ago</a:t>
                </a:r>
                <a:endParaRPr lang="en-US" sz="2000" b="1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248608"/>
        <c:crosses val="autoZero"/>
        <c:crossBetween val="midCat"/>
      </c:valAx>
      <c:valAx>
        <c:axId val="541248608"/>
        <c:scaling>
          <c:orientation val="minMax"/>
          <c:max val="8.000000000000001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="1">
                    <a:solidFill>
                      <a:schemeClr val="tx1"/>
                    </a:solidFill>
                  </a:rPr>
                  <a:t>Change</a:t>
                </a:r>
                <a:r>
                  <a:rPr lang="en-US" sz="2000" b="1" baseline="0">
                    <a:solidFill>
                      <a:schemeClr val="tx1"/>
                    </a:solidFill>
                  </a:rPr>
                  <a:t> in Proportion of Students in FI compared to 10 Years Ago</a:t>
                </a:r>
                <a:endParaRPr lang="en-US" sz="2000" b="1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low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2469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2000" b="1">
                <a:solidFill>
                  <a:schemeClr val="tx1"/>
                </a:solidFill>
              </a:rPr>
              <a:t>Figure</a:t>
            </a:r>
            <a:r>
              <a:rPr lang="en-US" sz="2000" b="1" baseline="0">
                <a:solidFill>
                  <a:schemeClr val="tx1"/>
                </a:solidFill>
              </a:rPr>
              <a:t> 2. Change in Proportion of Students in FI vs Percentage Change in Total Enrolment for BC SDs (2013/14 - 2018/19, 6 years). Outliers removed.</a:t>
            </a:r>
            <a:endParaRPr lang="en-US" sz="20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% Change Students in FI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'2018-2019'!$N$4:$N$63</c:f>
              <c:numCache>
                <c:formatCode>0.00%</c:formatCode>
                <c:ptCount val="60"/>
                <c:pt idx="0">
                  <c:v>1.788781074234683E-2</c:v>
                </c:pt>
                <c:pt idx="1">
                  <c:v>6.7110266159695814E-2</c:v>
                </c:pt>
                <c:pt idx="2">
                  <c:v>0.10412637008381689</c:v>
                </c:pt>
                <c:pt idx="3">
                  <c:v>-5.5311844363913787E-2</c:v>
                </c:pt>
                <c:pt idx="6">
                  <c:v>5.4292591602032626E-2</c:v>
                </c:pt>
                <c:pt idx="7">
                  <c:v>6.4845576473483449E-2</c:v>
                </c:pt>
                <c:pt idx="8">
                  <c:v>6.772178650260649E-2</c:v>
                </c:pt>
                <c:pt idx="9">
                  <c:v>-4.1237113402061855E-2</c:v>
                </c:pt>
                <c:pt idx="10">
                  <c:v>-0.12181387077652638</c:v>
                </c:pt>
                <c:pt idx="11">
                  <c:v>5.1481338976529435E-2</c:v>
                </c:pt>
                <c:pt idx="12">
                  <c:v>3.2478365133979774E-2</c:v>
                </c:pt>
                <c:pt idx="13">
                  <c:v>0.11241476133172884</c:v>
                </c:pt>
                <c:pt idx="14">
                  <c:v>1.8900557607958713E-2</c:v>
                </c:pt>
                <c:pt idx="15">
                  <c:v>3.2425340497313507E-2</c:v>
                </c:pt>
                <c:pt idx="16">
                  <c:v>-3.9017009765714546E-2</c:v>
                </c:pt>
                <c:pt idx="17">
                  <c:v>-6.9931953247033052E-2</c:v>
                </c:pt>
                <c:pt idx="18">
                  <c:v>4.8283961894819262E-3</c:v>
                </c:pt>
                <c:pt idx="19">
                  <c:v>1.7545968032688378E-2</c:v>
                </c:pt>
                <c:pt idx="20">
                  <c:v>4.5886616973261303E-2</c:v>
                </c:pt>
                <c:pt idx="21">
                  <c:v>-6.7430480964315552E-3</c:v>
                </c:pt>
                <c:pt idx="22">
                  <c:v>1.186021437178918E-2</c:v>
                </c:pt>
                <c:pt idx="23">
                  <c:v>2.8186790071518721E-2</c:v>
                </c:pt>
                <c:pt idx="25">
                  <c:v>8.9438629876308282E-2</c:v>
                </c:pt>
                <c:pt idx="26">
                  <c:v>0.14531250000000001</c:v>
                </c:pt>
                <c:pt idx="28">
                  <c:v>-0.22727272727272727</c:v>
                </c:pt>
                <c:pt idx="30">
                  <c:v>-6.6571564431764152E-2</c:v>
                </c:pt>
                <c:pt idx="31">
                  <c:v>-1.0642652476463364E-2</c:v>
                </c:pt>
                <c:pt idx="32">
                  <c:v>-9.9816849816849823E-2</c:v>
                </c:pt>
                <c:pt idx="33">
                  <c:v>2.144174608054104E-2</c:v>
                </c:pt>
                <c:pt idx="34">
                  <c:v>-1.9607843137254902E-2</c:v>
                </c:pt>
                <c:pt idx="35">
                  <c:v>-1.6730663741086123E-2</c:v>
                </c:pt>
                <c:pt idx="36">
                  <c:v>7.9635566053652782E-2</c:v>
                </c:pt>
                <c:pt idx="37">
                  <c:v>4.4410256410256407E-2</c:v>
                </c:pt>
                <c:pt idx="38">
                  <c:v>0.15302634224813996</c:v>
                </c:pt>
                <c:pt idx="39">
                  <c:v>-0.12134488028527764</c:v>
                </c:pt>
                <c:pt idx="40">
                  <c:v>2.3335230506545249E-2</c:v>
                </c:pt>
                <c:pt idx="41">
                  <c:v>-1.8758526603001365E-3</c:v>
                </c:pt>
                <c:pt idx="42">
                  <c:v>5.2828828828828826E-2</c:v>
                </c:pt>
                <c:pt idx="43">
                  <c:v>3.2837231278053387E-2</c:v>
                </c:pt>
                <c:pt idx="44">
                  <c:v>4.0032240730789898E-2</c:v>
                </c:pt>
                <c:pt idx="45">
                  <c:v>6.0106137517305029E-2</c:v>
                </c:pt>
                <c:pt idx="46">
                  <c:v>4.2843419788664745E-2</c:v>
                </c:pt>
                <c:pt idx="47">
                  <c:v>3.9283491251123868E-2</c:v>
                </c:pt>
                <c:pt idx="49">
                  <c:v>4.8914858096828044E-2</c:v>
                </c:pt>
                <c:pt idx="51">
                  <c:v>7.7714136943504292E-2</c:v>
                </c:pt>
                <c:pt idx="53">
                  <c:v>-0.12814829740076566</c:v>
                </c:pt>
                <c:pt idx="54">
                  <c:v>5.472553298640255E-2</c:v>
                </c:pt>
                <c:pt idx="58">
                  <c:v>-3.3248081841432228E-2</c:v>
                </c:pt>
              </c:numCache>
            </c:numRef>
          </c:xVal>
          <c:yVal>
            <c:numRef>
              <c:f>'2018-2019'!$U$4:$U$63</c:f>
              <c:numCache>
                <c:formatCode>0.00%</c:formatCode>
                <c:ptCount val="60"/>
                <c:pt idx="0">
                  <c:v>6.4315276044806385E-3</c:v>
                </c:pt>
                <c:pt idx="1">
                  <c:v>1.8528721009552107E-2</c:v>
                </c:pt>
                <c:pt idx="2">
                  <c:v>2.6326316433476077E-4</c:v>
                </c:pt>
                <c:pt idx="3">
                  <c:v>3.3854759630860057E-3</c:v>
                </c:pt>
                <c:pt idx="6">
                  <c:v>2.3854108700250988E-2</c:v>
                </c:pt>
                <c:pt idx="7">
                  <c:v>7.6944669309538805E-3</c:v>
                </c:pt>
                <c:pt idx="8">
                  <c:v>1.2958942853432562E-2</c:v>
                </c:pt>
                <c:pt idx="9">
                  <c:v>2.1327142984452388E-2</c:v>
                </c:pt>
                <c:pt idx="10">
                  <c:v>7.9756634932994022E-3</c:v>
                </c:pt>
                <c:pt idx="11">
                  <c:v>1.1957839576201619E-2</c:v>
                </c:pt>
                <c:pt idx="12">
                  <c:v>4.0908423388069104E-3</c:v>
                </c:pt>
                <c:pt idx="13">
                  <c:v>-5.4579623631284407E-3</c:v>
                </c:pt>
                <c:pt idx="14">
                  <c:v>-1.6061779399261789E-3</c:v>
                </c:pt>
                <c:pt idx="15">
                  <c:v>-3.5518148167962005E-3</c:v>
                </c:pt>
                <c:pt idx="16">
                  <c:v>7.0200107376311577E-3</c:v>
                </c:pt>
                <c:pt idx="17">
                  <c:v>8.6011158442233365E-3</c:v>
                </c:pt>
                <c:pt idx="18">
                  <c:v>3.8029424575163895E-3</c:v>
                </c:pt>
                <c:pt idx="19">
                  <c:v>1.6691858787429154E-3</c:v>
                </c:pt>
                <c:pt idx="20">
                  <c:v>5.6468632523481721E-3</c:v>
                </c:pt>
                <c:pt idx="21">
                  <c:v>1.3316430586400335E-2</c:v>
                </c:pt>
                <c:pt idx="22">
                  <c:v>6.4498953232217104E-4</c:v>
                </c:pt>
                <c:pt idx="23">
                  <c:v>8.5325683187282564E-3</c:v>
                </c:pt>
                <c:pt idx="25">
                  <c:v>3.5459678659126879E-2</c:v>
                </c:pt>
                <c:pt idx="26">
                  <c:v>0</c:v>
                </c:pt>
                <c:pt idx="28">
                  <c:v>-5.4430863254392656E-2</c:v>
                </c:pt>
                <c:pt idx="30">
                  <c:v>3.3477633897091436E-2</c:v>
                </c:pt>
                <c:pt idx="32">
                  <c:v>5.7297314418372353E-3</c:v>
                </c:pt>
                <c:pt idx="33">
                  <c:v>1.5812684137799987E-2</c:v>
                </c:pt>
                <c:pt idx="34">
                  <c:v>1.5102211097204846E-2</c:v>
                </c:pt>
                <c:pt idx="35">
                  <c:v>-2.8012510223083167E-2</c:v>
                </c:pt>
                <c:pt idx="36">
                  <c:v>5.7329271516795011E-3</c:v>
                </c:pt>
                <c:pt idx="37">
                  <c:v>6.1284594485026544E-3</c:v>
                </c:pt>
                <c:pt idx="38">
                  <c:v>2.2255828491643509E-2</c:v>
                </c:pt>
                <c:pt idx="39">
                  <c:v>1.5028254621442902E-2</c:v>
                </c:pt>
                <c:pt idx="40">
                  <c:v>0</c:v>
                </c:pt>
                <c:pt idx="41">
                  <c:v>-4.2255123187488614E-3</c:v>
                </c:pt>
                <c:pt idx="42">
                  <c:v>8.8841212515911316E-3</c:v>
                </c:pt>
                <c:pt idx="43">
                  <c:v>1.0648373592318794E-2</c:v>
                </c:pt>
                <c:pt idx="44">
                  <c:v>-1.2837366154673041E-2</c:v>
                </c:pt>
                <c:pt idx="45">
                  <c:v>7.0270964114463319E-4</c:v>
                </c:pt>
                <c:pt idx="46">
                  <c:v>-5.6774316402586067E-3</c:v>
                </c:pt>
                <c:pt idx="47">
                  <c:v>4.0947020632014219E-3</c:v>
                </c:pt>
                <c:pt idx="49">
                  <c:v>4.4347082795162113E-3</c:v>
                </c:pt>
                <c:pt idx="51">
                  <c:v>5.9042494161647419E-3</c:v>
                </c:pt>
                <c:pt idx="53">
                  <c:v>2.4082904968921626E-2</c:v>
                </c:pt>
                <c:pt idx="54">
                  <c:v>-7.7100380195689183E-3</c:v>
                </c:pt>
                <c:pt idx="58">
                  <c:v>2.8766740190440052E-3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A84-CE4A-B333-774A1D607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4298864"/>
        <c:axId val="443948640"/>
      </c:scatterChart>
      <c:valAx>
        <c:axId val="444298864"/>
        <c:scaling>
          <c:orientation val="minMax"/>
          <c:max val="0.15000000000000002"/>
          <c:min val="-0.1500000000000000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>
                    <a:solidFill>
                      <a:schemeClr val="tx1"/>
                    </a:solidFill>
                  </a:rPr>
                  <a:t>Change</a:t>
                </a:r>
                <a:r>
                  <a:rPr lang="en-US" sz="1800" b="1" baseline="0">
                    <a:solidFill>
                      <a:schemeClr val="tx1"/>
                    </a:solidFill>
                  </a:rPr>
                  <a:t> in Total Enrolment Compared to 5 Years Ago</a:t>
                </a:r>
                <a:endParaRPr lang="en-US" sz="1800" b="1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3948640"/>
        <c:crosses val="autoZero"/>
        <c:crossBetween val="midCat"/>
      </c:valAx>
      <c:valAx>
        <c:axId val="443948640"/>
        <c:scaling>
          <c:orientation val="minMax"/>
          <c:min val="-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>
                    <a:solidFill>
                      <a:schemeClr val="tx1"/>
                    </a:solidFill>
                  </a:rPr>
                  <a:t>Change</a:t>
                </a:r>
                <a:r>
                  <a:rPr lang="en-US" sz="1800" b="1" baseline="0">
                    <a:solidFill>
                      <a:schemeClr val="tx1"/>
                    </a:solidFill>
                  </a:rPr>
                  <a:t> in Proportions of Students in FI Compared to 5 Years Ago</a:t>
                </a:r>
                <a:endParaRPr lang="en-US" sz="1800" b="1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low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2988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2000" b="1">
                <a:solidFill>
                  <a:schemeClr val="tx1"/>
                </a:solidFill>
              </a:rPr>
              <a:t>Figure</a:t>
            </a:r>
            <a:r>
              <a:rPr lang="en-US" sz="2000" b="1" baseline="0">
                <a:solidFill>
                  <a:schemeClr val="tx1"/>
                </a:solidFill>
              </a:rPr>
              <a:t> 1. Percentage Change in FI Enrolment vs Percentage Change in Total Enrolment (2019/20 - 2020/21, 2 years). Outliers removed</a:t>
            </a:r>
            <a:endParaRPr lang="en-US" sz="20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% Change FI Enrolment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'2020-2021'!$L$4:$L$63</c:f>
              <c:numCache>
                <c:formatCode>0.00%</c:formatCode>
                <c:ptCount val="60"/>
                <c:pt idx="0">
                  <c:v>-2.7510075346066233E-2</c:v>
                </c:pt>
                <c:pt idx="1">
                  <c:v>-2.3133235724743777E-2</c:v>
                </c:pt>
                <c:pt idx="2">
                  <c:v>-1.8341307814992026E-2</c:v>
                </c:pt>
                <c:pt idx="5">
                  <c:v>-2.2344966105950288E-2</c:v>
                </c:pt>
                <c:pt idx="6">
                  <c:v>-2.8087332272003638E-2</c:v>
                </c:pt>
                <c:pt idx="7">
                  <c:v>6.3768365720194755E-3</c:v>
                </c:pt>
                <c:pt idx="8">
                  <c:v>-3.8105489773950486E-2</c:v>
                </c:pt>
                <c:pt idx="9">
                  <c:v>-1.4705882352941176E-2</c:v>
                </c:pt>
                <c:pt idx="10">
                  <c:v>-1.1140235910878113E-2</c:v>
                </c:pt>
                <c:pt idx="11">
                  <c:v>-3.1929112420177222E-2</c:v>
                </c:pt>
                <c:pt idx="12">
                  <c:v>-1.1447151574540109E-2</c:v>
                </c:pt>
                <c:pt idx="13">
                  <c:v>1.2036240989352555E-3</c:v>
                </c:pt>
                <c:pt idx="14">
                  <c:v>-2.5538037287932379E-2</c:v>
                </c:pt>
                <c:pt idx="15">
                  <c:v>-1.981606143927183E-2</c:v>
                </c:pt>
                <c:pt idx="16">
                  <c:v>-1.2635483683996985E-2</c:v>
                </c:pt>
                <c:pt idx="17">
                  <c:v>9.4743672939649574E-3</c:v>
                </c:pt>
                <c:pt idx="18">
                  <c:v>-3.5829493087557604E-2</c:v>
                </c:pt>
                <c:pt idx="19">
                  <c:v>-1.8975087130502132E-2</c:v>
                </c:pt>
                <c:pt idx="20">
                  <c:v>-1.9485184076623766E-2</c:v>
                </c:pt>
                <c:pt idx="21">
                  <c:v>-2.7005413385826772E-2</c:v>
                </c:pt>
                <c:pt idx="22">
                  <c:v>-3.4907319713164658E-2</c:v>
                </c:pt>
                <c:pt idx="24">
                  <c:v>0.12330235882773409</c:v>
                </c:pt>
                <c:pt idx="25">
                  <c:v>-6.5271645229410639E-3</c:v>
                </c:pt>
                <c:pt idx="27">
                  <c:v>-4.9250535331905779E-2</c:v>
                </c:pt>
                <c:pt idx="29">
                  <c:v>-5.6156620298815046E-2</c:v>
                </c:pt>
                <c:pt idx="30">
                  <c:v>-2.44104261481175E-2</c:v>
                </c:pt>
                <c:pt idx="31">
                  <c:v>2.5641025641025641E-3</c:v>
                </c:pt>
                <c:pt idx="32">
                  <c:v>-2.4210526315789474E-2</c:v>
                </c:pt>
                <c:pt idx="33">
                  <c:v>-2.7571115973741796E-2</c:v>
                </c:pt>
                <c:pt idx="34">
                  <c:v>-2.3574561403508772E-2</c:v>
                </c:pt>
                <c:pt idx="35">
                  <c:v>-3.0695665586919635E-2</c:v>
                </c:pt>
                <c:pt idx="36">
                  <c:v>-5.2705997074597756E-2</c:v>
                </c:pt>
                <c:pt idx="37">
                  <c:v>8.2934336525307805E-3</c:v>
                </c:pt>
                <c:pt idx="38">
                  <c:v>-1.554346619296103E-2</c:v>
                </c:pt>
                <c:pt idx="39">
                  <c:v>-5.5051813471502592E-2</c:v>
                </c:pt>
                <c:pt idx="40">
                  <c:v>-1.8560277536860365E-2</c:v>
                </c:pt>
                <c:pt idx="41">
                  <c:v>-2.9757879074800487E-3</c:v>
                </c:pt>
                <c:pt idx="42">
                  <c:v>-7.0711678832116789E-3</c:v>
                </c:pt>
                <c:pt idx="43">
                  <c:v>-1.2700881285640227E-2</c:v>
                </c:pt>
                <c:pt idx="44">
                  <c:v>9.4974401838888306E-2</c:v>
                </c:pt>
                <c:pt idx="45">
                  <c:v>-1.6949152542372881E-2</c:v>
                </c:pt>
                <c:pt idx="46">
                  <c:v>-1.2126744034424305E-2</c:v>
                </c:pt>
                <c:pt idx="48">
                  <c:v>-1.876759461995621E-3</c:v>
                </c:pt>
                <c:pt idx="50">
                  <c:v>-2.1906596051998073E-2</c:v>
                </c:pt>
                <c:pt idx="52">
                  <c:v>-9.6391046139789854E-2</c:v>
                </c:pt>
                <c:pt idx="53">
                  <c:v>-4.6896982960762859E-4</c:v>
                </c:pt>
                <c:pt idx="57">
                  <c:v>-8.027522935779817E-3</c:v>
                </c:pt>
                <c:pt idx="59">
                  <c:v>-1.33892840587309E-2</c:v>
                </c:pt>
              </c:numCache>
            </c:numRef>
          </c:xVal>
          <c:yVal>
            <c:numRef>
              <c:f>'2020-2021'!$E$4:$E$63</c:f>
              <c:numCache>
                <c:formatCode>0.00%</c:formatCode>
                <c:ptCount val="60"/>
                <c:pt idx="0">
                  <c:v>3.4305317324185248E-3</c:v>
                </c:pt>
                <c:pt idx="1">
                  <c:v>-1.1695906432748537E-2</c:v>
                </c:pt>
                <c:pt idx="2">
                  <c:v>4.4609665427509292E-2</c:v>
                </c:pt>
                <c:pt idx="5">
                  <c:v>-1.4778325123152709E-2</c:v>
                </c:pt>
                <c:pt idx="6">
                  <c:v>-1.7933390264730998E-2</c:v>
                </c:pt>
                <c:pt idx="7">
                  <c:v>-6.2157221206581353E-3</c:v>
                </c:pt>
                <c:pt idx="8">
                  <c:v>-8.5995085995085999E-2</c:v>
                </c:pt>
                <c:pt idx="9">
                  <c:v>-2.9556650246305417E-2</c:v>
                </c:pt>
                <c:pt idx="10">
                  <c:v>3.3045977011494254E-2</c:v>
                </c:pt>
                <c:pt idx="11">
                  <c:v>-3.9843749999999997E-2</c:v>
                </c:pt>
                <c:pt idx="12">
                  <c:v>-2.0675396278428671E-2</c:v>
                </c:pt>
                <c:pt idx="13">
                  <c:v>-3.787643588947532E-2</c:v>
                </c:pt>
                <c:pt idx="14">
                  <c:v>-7.5085324232081918E-2</c:v>
                </c:pt>
                <c:pt idx="15">
                  <c:v>-8.8682432432432429E-3</c:v>
                </c:pt>
                <c:pt idx="16">
                  <c:v>-3.1429666538903792E-2</c:v>
                </c:pt>
                <c:pt idx="17">
                  <c:v>1.4851485148514851E-2</c:v>
                </c:pt>
                <c:pt idx="18">
                  <c:v>-2.7247956403269754E-3</c:v>
                </c:pt>
                <c:pt idx="19">
                  <c:v>-1.0869565217391304E-2</c:v>
                </c:pt>
                <c:pt idx="20">
                  <c:v>2.5799793601651187E-3</c:v>
                </c:pt>
                <c:pt idx="21">
                  <c:v>3.8270187523918868E-3</c:v>
                </c:pt>
                <c:pt idx="22">
                  <c:v>1.9157088122605363E-3</c:v>
                </c:pt>
                <c:pt idx="24">
                  <c:v>-1.020408163265306E-2</c:v>
                </c:pt>
                <c:pt idx="25">
                  <c:v>-1.7463235294117647E-2</c:v>
                </c:pt>
                <c:pt idx="27">
                  <c:v>0</c:v>
                </c:pt>
                <c:pt idx="29">
                  <c:v>-6.25E-2</c:v>
                </c:pt>
                <c:pt idx="30">
                  <c:v>-0.1111111111111111</c:v>
                </c:pt>
                <c:pt idx="31">
                  <c:v>0.10344827586206896</c:v>
                </c:pt>
                <c:pt idx="32">
                  <c:v>-8.4745762711864404E-4</c:v>
                </c:pt>
                <c:pt idx="33">
                  <c:v>3.1088082901554404E-2</c:v>
                </c:pt>
                <c:pt idx="34">
                  <c:v>-7.8767123287671229E-2</c:v>
                </c:pt>
                <c:pt idx="35">
                  <c:v>-7.9012345679012344E-2</c:v>
                </c:pt>
                <c:pt idx="36">
                  <c:v>-1.3565395444074738E-2</c:v>
                </c:pt>
                <c:pt idx="37">
                  <c:v>2.7116402116402115E-2</c:v>
                </c:pt>
                <c:pt idx="38">
                  <c:v>-1.3306038894575231E-2</c:v>
                </c:pt>
                <c:pt idx="39">
                  <c:v>3.9215686274509803E-2</c:v>
                </c:pt>
                <c:pt idx="40">
                  <c:v>-6.4935064935064939E-3</c:v>
                </c:pt>
                <c:pt idx="41">
                  <c:v>1.838235294117647E-3</c:v>
                </c:pt>
                <c:pt idx="42">
                  <c:v>-1.098901098901099E-2</c:v>
                </c:pt>
                <c:pt idx="43">
                  <c:v>-8.3544303797468356E-2</c:v>
                </c:pt>
                <c:pt idx="44">
                  <c:v>-4.9919484702093397E-2</c:v>
                </c:pt>
                <c:pt idx="45">
                  <c:v>-4.2553191489361701E-2</c:v>
                </c:pt>
                <c:pt idx="46">
                  <c:v>-2.7419354838709678E-2</c:v>
                </c:pt>
                <c:pt idx="48">
                  <c:v>-1.3084112149532711E-2</c:v>
                </c:pt>
                <c:pt idx="50">
                  <c:v>-2.2395326192794548E-2</c:v>
                </c:pt>
                <c:pt idx="52">
                  <c:v>-7.2016460905349799E-2</c:v>
                </c:pt>
                <c:pt idx="53">
                  <c:v>1.3368983957219251E-2</c:v>
                </c:pt>
                <c:pt idx="57">
                  <c:v>-0.25641025641025639</c:v>
                </c:pt>
                <c:pt idx="59">
                  <c:v>-1.6778153484269333E-2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2FB-40A5-BFB8-470CAA25FB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1920176"/>
        <c:axId val="391940416"/>
      </c:scatterChart>
      <c:valAx>
        <c:axId val="391920176"/>
        <c:scaling>
          <c:orientation val="minMax"/>
          <c:max val="0.1500000000000000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="1">
                    <a:solidFill>
                      <a:schemeClr val="tx1"/>
                    </a:solidFill>
                  </a:rPr>
                  <a:t>Percentage</a:t>
                </a:r>
                <a:r>
                  <a:rPr lang="en-US" sz="2000" b="1" baseline="0">
                    <a:solidFill>
                      <a:schemeClr val="tx1"/>
                    </a:solidFill>
                  </a:rPr>
                  <a:t> Change in Total Enrolment Compared to Previous Year</a:t>
                </a:r>
                <a:endParaRPr lang="en-US" sz="2000" b="1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1940416"/>
        <c:crosses val="autoZero"/>
        <c:crossBetween val="midCat"/>
      </c:valAx>
      <c:valAx>
        <c:axId val="391940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="1">
                    <a:solidFill>
                      <a:schemeClr val="tx1"/>
                    </a:solidFill>
                  </a:rPr>
                  <a:t>Percentage</a:t>
                </a:r>
                <a:r>
                  <a:rPr lang="en-US" sz="2000" b="1" baseline="0">
                    <a:solidFill>
                      <a:schemeClr val="tx1"/>
                    </a:solidFill>
                  </a:rPr>
                  <a:t> Change in FI Enrolment Compared to Previous Year</a:t>
                </a:r>
                <a:endParaRPr lang="en-US" sz="2000" b="1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low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192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2000" b="1">
                <a:solidFill>
                  <a:schemeClr val="tx1"/>
                </a:solidFill>
              </a:rPr>
              <a:t>Figure 2. Percentage Change in FI Enrolment vs</a:t>
            </a:r>
            <a:r>
              <a:rPr lang="en-US" sz="2000" b="1" baseline="0">
                <a:solidFill>
                  <a:schemeClr val="tx1"/>
                </a:solidFill>
              </a:rPr>
              <a:t> Percentage Change in Total Enrolment (2015/16 - 2020/21, 6 years). Outliers removed</a:t>
            </a:r>
            <a:endParaRPr lang="en-US" sz="20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% Change FI Enrolment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'2020-2021'!$N$4:$N$63</c:f>
              <c:numCache>
                <c:formatCode>0.00%</c:formatCode>
                <c:ptCount val="60"/>
                <c:pt idx="0">
                  <c:v>2.853965900667161E-2</c:v>
                </c:pt>
                <c:pt idx="1">
                  <c:v>5.904761904761905E-2</c:v>
                </c:pt>
                <c:pt idx="2">
                  <c:v>-1.1443485243926922E-2</c:v>
                </c:pt>
                <c:pt idx="5">
                  <c:v>6.4807219031993435E-2</c:v>
                </c:pt>
                <c:pt idx="6">
                  <c:v>2.2490728556047373E-2</c:v>
                </c:pt>
                <c:pt idx="7">
                  <c:v>8.2244462978407928E-2</c:v>
                </c:pt>
                <c:pt idx="8">
                  <c:v>-2.6579520697167756E-2</c:v>
                </c:pt>
                <c:pt idx="9">
                  <c:v>-4.5027534823453189E-2</c:v>
                </c:pt>
                <c:pt idx="10">
                  <c:v>3.5847761421706967E-2</c:v>
                </c:pt>
                <c:pt idx="11">
                  <c:v>2.4303373140582445E-2</c:v>
                </c:pt>
                <c:pt idx="12">
                  <c:v>8.2000780031201245E-2</c:v>
                </c:pt>
                <c:pt idx="13">
                  <c:v>6.7012489075582868E-2</c:v>
                </c:pt>
                <c:pt idx="14">
                  <c:v>-3.9828431372549017E-3</c:v>
                </c:pt>
                <c:pt idx="15">
                  <c:v>-2.8976658995914149E-2</c:v>
                </c:pt>
                <c:pt idx="16">
                  <c:v>-3.1368460955269142E-2</c:v>
                </c:pt>
                <c:pt idx="17">
                  <c:v>5.94930160372478E-3</c:v>
                </c:pt>
                <c:pt idx="18">
                  <c:v>8.677835362179101E-3</c:v>
                </c:pt>
                <c:pt idx="19">
                  <c:v>1.3400893392892859E-2</c:v>
                </c:pt>
                <c:pt idx="20">
                  <c:v>-6.1284548405691579E-3</c:v>
                </c:pt>
                <c:pt idx="21">
                  <c:v>-2.2193372898120671E-2</c:v>
                </c:pt>
                <c:pt idx="22">
                  <c:v>-2.1804717498628633E-2</c:v>
                </c:pt>
                <c:pt idx="24">
                  <c:v>0.54903893543617543</c:v>
                </c:pt>
                <c:pt idx="25">
                  <c:v>7.2761194029850748E-2</c:v>
                </c:pt>
                <c:pt idx="27">
                  <c:v>-0.21276595744680851</c:v>
                </c:pt>
                <c:pt idx="29">
                  <c:v>-0.11583011583011583</c:v>
                </c:pt>
                <c:pt idx="30">
                  <c:v>-3.4793286942284077E-2</c:v>
                </c:pt>
                <c:pt idx="31">
                  <c:v>-5.3727008712487902E-2</c:v>
                </c:pt>
                <c:pt idx="32">
                  <c:v>-7.6994148444718203E-4</c:v>
                </c:pt>
                <c:pt idx="33">
                  <c:v>-1.8117543084401236E-2</c:v>
                </c:pt>
                <c:pt idx="34">
                  <c:v>3.426248548199768E-2</c:v>
                </c:pt>
                <c:pt idx="35">
                  <c:v>3.0327214684756584E-3</c:v>
                </c:pt>
                <c:pt idx="36">
                  <c:v>-1.4506720770986558E-2</c:v>
                </c:pt>
                <c:pt idx="37">
                  <c:v>0.15368812365486206</c:v>
                </c:pt>
                <c:pt idx="38">
                  <c:v>-5.2726048911824093E-3</c:v>
                </c:pt>
                <c:pt idx="39">
                  <c:v>-0.17987633501967398</c:v>
                </c:pt>
                <c:pt idx="40">
                  <c:v>-1.4800626850078356E-2</c:v>
                </c:pt>
                <c:pt idx="41">
                  <c:v>7.9209370424597358E-2</c:v>
                </c:pt>
                <c:pt idx="42">
                  <c:v>3.5442435775451954E-2</c:v>
                </c:pt>
                <c:pt idx="43">
                  <c:v>-1.2188796680497925E-2</c:v>
                </c:pt>
                <c:pt idx="44">
                  <c:v>0.27992183683439181</c:v>
                </c:pt>
                <c:pt idx="45">
                  <c:v>2.606049077420582E-2</c:v>
                </c:pt>
                <c:pt idx="46">
                  <c:v>5.1637978900610775E-2</c:v>
                </c:pt>
                <c:pt idx="48">
                  <c:v>5.8901609424257505E-2</c:v>
                </c:pt>
                <c:pt idx="50">
                  <c:v>6.836707862214042E-2</c:v>
                </c:pt>
                <c:pt idx="52">
                  <c:v>-0.10009099181073704</c:v>
                </c:pt>
                <c:pt idx="53">
                  <c:v>9.0010228435049439E-2</c:v>
                </c:pt>
                <c:pt idx="57">
                  <c:v>-3.8675261169148697E-2</c:v>
                </c:pt>
                <c:pt idx="59">
                  <c:v>2.6912887754843885E-2</c:v>
                </c:pt>
              </c:numCache>
            </c:numRef>
          </c:xVal>
          <c:yVal>
            <c:numRef>
              <c:f>'2020-2021'!$G$4:$G$63</c:f>
              <c:numCache>
                <c:formatCode>0.00%</c:formatCode>
                <c:ptCount val="60"/>
                <c:pt idx="0">
                  <c:v>0.18181818181818182</c:v>
                </c:pt>
                <c:pt idx="1">
                  <c:v>0.37398373983739835</c:v>
                </c:pt>
                <c:pt idx="2">
                  <c:v>-3.5460992907801418E-3</c:v>
                </c:pt>
                <c:pt idx="5">
                  <c:v>0.64609053497942381</c:v>
                </c:pt>
                <c:pt idx="6">
                  <c:v>3.41726618705036E-2</c:v>
                </c:pt>
                <c:pt idx="7">
                  <c:v>0.15610378562313909</c:v>
                </c:pt>
                <c:pt idx="8">
                  <c:v>5.6818181818181816E-2</c:v>
                </c:pt>
                <c:pt idx="9">
                  <c:v>0</c:v>
                </c:pt>
                <c:pt idx="10">
                  <c:v>0.30253623188405798</c:v>
                </c:pt>
                <c:pt idx="11">
                  <c:v>-6.8233510235026537E-2</c:v>
                </c:pt>
                <c:pt idx="12">
                  <c:v>-1.8646408839779006E-2</c:v>
                </c:pt>
                <c:pt idx="13">
                  <c:v>-8.7992937021777518E-2</c:v>
                </c:pt>
                <c:pt idx="14">
                  <c:v>-7.3277967757694185E-2</c:v>
                </c:pt>
                <c:pt idx="15">
                  <c:v>-0.15878136200716847</c:v>
                </c:pt>
                <c:pt idx="16">
                  <c:v>-4.8748353096179184E-2</c:v>
                </c:pt>
                <c:pt idx="17">
                  <c:v>5.4526748971193417E-2</c:v>
                </c:pt>
                <c:pt idx="18">
                  <c:v>-3.2172763331864258E-2</c:v>
                </c:pt>
                <c:pt idx="19">
                  <c:v>6.640625E-2</c:v>
                </c:pt>
                <c:pt idx="20">
                  <c:v>1.6213389121338913E-2</c:v>
                </c:pt>
                <c:pt idx="21">
                  <c:v>5.4684358665058302E-2</c:v>
                </c:pt>
                <c:pt idx="22">
                  <c:v>5.1256281407035177E-2</c:v>
                </c:pt>
                <c:pt idx="24">
                  <c:v>0.5901639344262295</c:v>
                </c:pt>
                <c:pt idx="25">
                  <c:v>0.33291770573566087</c:v>
                </c:pt>
                <c:pt idx="27">
                  <c:v>-1</c:v>
                </c:pt>
                <c:pt idx="29">
                  <c:v>7.1428571428571425E-2</c:v>
                </c:pt>
                <c:pt idx="31">
                  <c:v>-3.0303030303030304E-2</c:v>
                </c:pt>
                <c:pt idx="32">
                  <c:v>0.12931034482758622</c:v>
                </c:pt>
                <c:pt idx="33">
                  <c:v>0.13714285714285715</c:v>
                </c:pt>
                <c:pt idx="34">
                  <c:v>-0.30670103092783507</c:v>
                </c:pt>
                <c:pt idx="35">
                  <c:v>3.3240997229916899E-2</c:v>
                </c:pt>
                <c:pt idx="36">
                  <c:v>1.3144058885383806E-2</c:v>
                </c:pt>
                <c:pt idx="37">
                  <c:v>0.25545675020210185</c:v>
                </c:pt>
                <c:pt idx="38">
                  <c:v>6.637168141592921E-2</c:v>
                </c:pt>
                <c:pt idx="39">
                  <c:v>0.1276595744680851</c:v>
                </c:pt>
                <c:pt idx="40">
                  <c:v>-6.4220183486238536E-2</c:v>
                </c:pt>
                <c:pt idx="41">
                  <c:v>8.0634500991407801E-2</c:v>
                </c:pt>
                <c:pt idx="42">
                  <c:v>0.16883116883116883</c:v>
                </c:pt>
                <c:pt idx="43">
                  <c:v>5.5555555555555558E-3</c:v>
                </c:pt>
                <c:pt idx="44">
                  <c:v>2.6086956521739129E-2</c:v>
                </c:pt>
                <c:pt idx="45">
                  <c:v>3.5108958837772396E-2</c:v>
                </c:pt>
                <c:pt idx="46">
                  <c:v>-8.2850041425020708E-4</c:v>
                </c:pt>
                <c:pt idx="48">
                  <c:v>8.6419753086419748E-2</c:v>
                </c:pt>
                <c:pt idx="50">
                  <c:v>0</c:v>
                </c:pt>
                <c:pt idx="52">
                  <c:v>0.1</c:v>
                </c:pt>
                <c:pt idx="53">
                  <c:v>-7.8534031413612562E-3</c:v>
                </c:pt>
                <c:pt idx="57">
                  <c:v>-0.25641025641025639</c:v>
                </c:pt>
                <c:pt idx="59">
                  <c:v>1.8231991626225141E-2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BA7-4AA8-AEFA-D530DED943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01152"/>
        <c:axId val="540668832"/>
      </c:scatterChart>
      <c:valAx>
        <c:axId val="12601152"/>
        <c:scaling>
          <c:orientation val="minMax"/>
          <c:max val="0.15000000000000002"/>
          <c:min val="-0.1500000000000000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="1">
                    <a:solidFill>
                      <a:schemeClr val="tx1"/>
                    </a:solidFill>
                  </a:rPr>
                  <a:t>Percentage</a:t>
                </a:r>
                <a:r>
                  <a:rPr lang="en-US" sz="2000" b="1" baseline="0">
                    <a:solidFill>
                      <a:schemeClr val="tx1"/>
                    </a:solidFill>
                  </a:rPr>
                  <a:t> Change in Total Enrolment Compared to Five Years Ago</a:t>
                </a:r>
                <a:endParaRPr lang="en-US" sz="2000" b="1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0668832"/>
        <c:crosses val="autoZero"/>
        <c:crossBetween val="midCat"/>
      </c:valAx>
      <c:valAx>
        <c:axId val="540668832"/>
        <c:scaling>
          <c:orientation val="minMax"/>
          <c:max val="0.35000000000000003"/>
          <c:min val="-0.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="1">
                    <a:solidFill>
                      <a:schemeClr val="tx1"/>
                    </a:solidFill>
                  </a:rPr>
                  <a:t>Percentage</a:t>
                </a:r>
                <a:r>
                  <a:rPr lang="en-US" sz="2000" b="1" baseline="0">
                    <a:solidFill>
                      <a:schemeClr val="tx1"/>
                    </a:solidFill>
                  </a:rPr>
                  <a:t> Change in FI Enrolment Compared to Five Years Ago</a:t>
                </a:r>
                <a:endParaRPr lang="en-US" sz="2000" b="1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low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011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2000" b="1">
                <a:solidFill>
                  <a:schemeClr val="tx1"/>
                </a:solidFill>
              </a:rPr>
              <a:t>Figure</a:t>
            </a:r>
            <a:r>
              <a:rPr lang="en-US" sz="2000" b="1" baseline="0">
                <a:solidFill>
                  <a:schemeClr val="tx1"/>
                </a:solidFill>
              </a:rPr>
              <a:t> 3. Percentage Change in FI Enrolment vs Percentage Change in Total Enrolment (2010/11 - 2020/21, 11 years). Outliers Removed</a:t>
            </a:r>
            <a:endParaRPr lang="en-US" sz="20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% Change FI Enrolment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'2020-2021'!$P$4:$P$63</c:f>
              <c:numCache>
                <c:formatCode>0.00%</c:formatCode>
                <c:ptCount val="60"/>
                <c:pt idx="0">
                  <c:v>3.4482758620689655E-2</c:v>
                </c:pt>
                <c:pt idx="1">
                  <c:v>1.8937080024434942E-2</c:v>
                </c:pt>
                <c:pt idx="2">
                  <c:v>-9.9981721805885576E-2</c:v>
                </c:pt>
                <c:pt idx="5">
                  <c:v>-3.7330037082818297E-2</c:v>
                </c:pt>
                <c:pt idx="6">
                  <c:v>-2.4537776763296052E-2</c:v>
                </c:pt>
                <c:pt idx="7">
                  <c:v>7.2504362200385711E-2</c:v>
                </c:pt>
                <c:pt idx="8">
                  <c:v>-0.19057971014492753</c:v>
                </c:pt>
                <c:pt idx="9">
                  <c:v>-0.18088357877188108</c:v>
                </c:pt>
                <c:pt idx="10">
                  <c:v>-3.0067133266676187E-2</c:v>
                </c:pt>
                <c:pt idx="11">
                  <c:v>-1.6248302228482319E-2</c:v>
                </c:pt>
                <c:pt idx="12">
                  <c:v>0.12023016353725015</c:v>
                </c:pt>
                <c:pt idx="13">
                  <c:v>4.7304121643122983E-2</c:v>
                </c:pt>
                <c:pt idx="14">
                  <c:v>-1.221438988818668E-2</c:v>
                </c:pt>
                <c:pt idx="15">
                  <c:v>-0.10883151588293608</c:v>
                </c:pt>
                <c:pt idx="16">
                  <c:v>-0.12873363338788871</c:v>
                </c:pt>
                <c:pt idx="17">
                  <c:v>2.8972086254795609E-2</c:v>
                </c:pt>
                <c:pt idx="18">
                  <c:v>-2.1360358604560516E-2</c:v>
                </c:pt>
                <c:pt idx="19">
                  <c:v>-7.1199947743157618E-3</c:v>
                </c:pt>
                <c:pt idx="20">
                  <c:v>-1.1228154900244484E-2</c:v>
                </c:pt>
                <c:pt idx="21">
                  <c:v>-3.1533186382561841E-2</c:v>
                </c:pt>
                <c:pt idx="22">
                  <c:v>1.4940239043824702E-2</c:v>
                </c:pt>
                <c:pt idx="24">
                  <c:v>0.40062388591800357</c:v>
                </c:pt>
                <c:pt idx="25">
                  <c:v>0.23243629435579899</c:v>
                </c:pt>
                <c:pt idx="27">
                  <c:v>-0.37988826815642457</c:v>
                </c:pt>
                <c:pt idx="29">
                  <c:v>-0.21305841924398625</c:v>
                </c:pt>
                <c:pt idx="30">
                  <c:v>-0.18210197710718001</c:v>
                </c:pt>
                <c:pt idx="31">
                  <c:v>-0.17545339519190215</c:v>
                </c:pt>
                <c:pt idx="32">
                  <c:v>-8.1333616479082604E-2</c:v>
                </c:pt>
                <c:pt idx="33">
                  <c:v>-0.16119290298225747</c:v>
                </c:pt>
                <c:pt idx="34">
                  <c:v>-0.12330790056608418</c:v>
                </c:pt>
                <c:pt idx="35">
                  <c:v>6.9981270219649241E-2</c:v>
                </c:pt>
                <c:pt idx="36">
                  <c:v>-4.1820782166987223E-2</c:v>
                </c:pt>
                <c:pt idx="37">
                  <c:v>0.24701279475520779</c:v>
                </c:pt>
                <c:pt idx="38">
                  <c:v>-8.7099763203953462E-2</c:v>
                </c:pt>
                <c:pt idx="39">
                  <c:v>-9.3788819875776391E-2</c:v>
                </c:pt>
                <c:pt idx="40">
                  <c:v>-0.10953729933899906</c:v>
                </c:pt>
                <c:pt idx="41">
                  <c:v>3.3945854958619723E-2</c:v>
                </c:pt>
                <c:pt idx="42">
                  <c:v>-1.8931710615280595E-2</c:v>
                </c:pt>
                <c:pt idx="43">
                  <c:v>-9.8248106060606064E-2</c:v>
                </c:pt>
                <c:pt idx="44">
                  <c:v>5.2208835341365459E-2</c:v>
                </c:pt>
                <c:pt idx="45">
                  <c:v>-8.6381179930159896E-3</c:v>
                </c:pt>
                <c:pt idx="46">
                  <c:v>2.050128959724886E-3</c:v>
                </c:pt>
                <c:pt idx="48">
                  <c:v>-4.8339310774988308E-3</c:v>
                </c:pt>
                <c:pt idx="50">
                  <c:v>-3.169685414680648E-2</c:v>
                </c:pt>
                <c:pt idx="52">
                  <c:v>-0.26468401486988846</c:v>
                </c:pt>
                <c:pt idx="53">
                  <c:v>-8.5133781656889396E-2</c:v>
                </c:pt>
                <c:pt idx="57">
                  <c:v>-0.16890853189853958</c:v>
                </c:pt>
                <c:pt idx="59">
                  <c:v>-1.8720040337620356E-2</c:v>
                </c:pt>
              </c:numCache>
            </c:numRef>
          </c:xVal>
          <c:yVal>
            <c:numRef>
              <c:f>'2020-2021'!$I$4:$I$63</c:f>
              <c:numCache>
                <c:formatCode>0.00%</c:formatCode>
                <c:ptCount val="60"/>
                <c:pt idx="0">
                  <c:v>0.54761904761904767</c:v>
                </c:pt>
                <c:pt idx="1">
                  <c:v>-0.26521739130434785</c:v>
                </c:pt>
                <c:pt idx="2">
                  <c:v>3.3088235294117647E-2</c:v>
                </c:pt>
                <c:pt idx="5">
                  <c:v>1.247191011235955</c:v>
                </c:pt>
                <c:pt idx="6">
                  <c:v>0.18679050567595459</c:v>
                </c:pt>
                <c:pt idx="7">
                  <c:v>0.38039614017267648</c:v>
                </c:pt>
                <c:pt idx="8">
                  <c:v>0.20388349514563106</c:v>
                </c:pt>
                <c:pt idx="9">
                  <c:v>-3.9024390243902439E-2</c:v>
                </c:pt>
                <c:pt idx="10">
                  <c:v>0.49170124481327798</c:v>
                </c:pt>
                <c:pt idx="11">
                  <c:v>2.8451882845188285E-2</c:v>
                </c:pt>
                <c:pt idx="12">
                  <c:v>3.4206695778748179E-2</c:v>
                </c:pt>
                <c:pt idx="13">
                  <c:v>2.8542980418187851E-2</c:v>
                </c:pt>
                <c:pt idx="14">
                  <c:v>-5.2687038988408848E-4</c:v>
                </c:pt>
                <c:pt idx="15">
                  <c:v>5.1052395879982088E-2</c:v>
                </c:pt>
                <c:pt idx="16">
                  <c:v>6.3104753891459822E-2</c:v>
                </c:pt>
                <c:pt idx="17">
                  <c:v>0.16345062429057888</c:v>
                </c:pt>
                <c:pt idx="18">
                  <c:v>0.15275590551181104</c:v>
                </c:pt>
                <c:pt idx="19">
                  <c:v>0.125</c:v>
                </c:pt>
                <c:pt idx="20">
                  <c:v>0.35447891251307073</c:v>
                </c:pt>
                <c:pt idx="21">
                  <c:v>0.15754633715798763</c:v>
                </c:pt>
                <c:pt idx="22">
                  <c:v>0.26634382566585957</c:v>
                </c:pt>
                <c:pt idx="24">
                  <c:v>0</c:v>
                </c:pt>
                <c:pt idx="25">
                  <c:v>2.2691131498470947</c:v>
                </c:pt>
                <c:pt idx="27">
                  <c:v>-1</c:v>
                </c:pt>
                <c:pt idx="29">
                  <c:v>0.27272727272727271</c:v>
                </c:pt>
                <c:pt idx="31">
                  <c:v>0.28859060402684567</c:v>
                </c:pt>
                <c:pt idx="32">
                  <c:v>0.55952380952380953</c:v>
                </c:pt>
                <c:pt idx="33">
                  <c:v>0.20606060606060606</c:v>
                </c:pt>
                <c:pt idx="34">
                  <c:v>-0.2670299727520436</c:v>
                </c:pt>
                <c:pt idx="35">
                  <c:v>2.1917808219178082E-2</c:v>
                </c:pt>
                <c:pt idx="36">
                  <c:v>0.22738853503184714</c:v>
                </c:pt>
                <c:pt idx="37">
                  <c:v>0.8356973995271868</c:v>
                </c:pt>
                <c:pt idx="38">
                  <c:v>8.0717488789237665E-2</c:v>
                </c:pt>
                <c:pt idx="39">
                  <c:v>0.28225806451612906</c:v>
                </c:pt>
                <c:pt idx="40">
                  <c:v>-3.924646781789639E-2</c:v>
                </c:pt>
                <c:pt idx="41">
                  <c:v>0.2904498816101026</c:v>
                </c:pt>
                <c:pt idx="42">
                  <c:v>0.21621621621621623</c:v>
                </c:pt>
                <c:pt idx="43">
                  <c:v>1.4005602240896359E-2</c:v>
                </c:pt>
                <c:pt idx="44">
                  <c:v>0.1625615763546798</c:v>
                </c:pt>
                <c:pt idx="45">
                  <c:v>0.1032258064516129</c:v>
                </c:pt>
                <c:pt idx="46">
                  <c:v>0.16973811833171679</c:v>
                </c:pt>
                <c:pt idx="48">
                  <c:v>0.15536105032822758</c:v>
                </c:pt>
                <c:pt idx="50">
                  <c:v>0.31241830065359477</c:v>
                </c:pt>
                <c:pt idx="52">
                  <c:v>0.27762039660056659</c:v>
                </c:pt>
                <c:pt idx="53">
                  <c:v>0.20317460317460317</c:v>
                </c:pt>
                <c:pt idx="57">
                  <c:v>-0.17924528301886791</c:v>
                </c:pt>
                <c:pt idx="59">
                  <c:v>0.19290539787295713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873-44E7-8F3A-B8F97880B5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7849856"/>
        <c:axId val="515639968"/>
      </c:scatterChart>
      <c:valAx>
        <c:axId val="537849856"/>
        <c:scaling>
          <c:orientation val="minMax"/>
          <c:max val="0.15000000000000002"/>
          <c:min val="-0.3000000000000000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="1">
                    <a:solidFill>
                      <a:schemeClr val="tx1"/>
                    </a:solidFill>
                  </a:rPr>
                  <a:t>Percentage</a:t>
                </a:r>
                <a:r>
                  <a:rPr lang="en-US" sz="2000" b="1" baseline="0">
                    <a:solidFill>
                      <a:schemeClr val="tx1"/>
                    </a:solidFill>
                  </a:rPr>
                  <a:t> Change in Total Enrolment Compared to Ten Years Ago</a:t>
                </a:r>
                <a:endParaRPr lang="en-US" sz="2000" b="1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5639968"/>
        <c:crosses val="autoZero"/>
        <c:crossBetween val="midCat"/>
        <c:majorUnit val="5.000000000000001E-2"/>
      </c:valAx>
      <c:valAx>
        <c:axId val="515639968"/>
        <c:scaling>
          <c:orientation val="minMax"/>
          <c:max val="0.8"/>
          <c:min val="-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="1">
                    <a:solidFill>
                      <a:schemeClr val="tx1"/>
                    </a:solidFill>
                  </a:rPr>
                  <a:t>Percentage</a:t>
                </a:r>
                <a:r>
                  <a:rPr lang="en-US" sz="2000" b="1" baseline="0">
                    <a:solidFill>
                      <a:schemeClr val="tx1"/>
                    </a:solidFill>
                  </a:rPr>
                  <a:t> Change in FI Enrolment Compared to Ten Years Ago</a:t>
                </a:r>
                <a:endParaRPr lang="en-US" sz="2000" b="1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low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8498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solidFill>
                  <a:schemeClr val="tx1"/>
                </a:solidFill>
              </a:rPr>
              <a:t>Figure 1. Average</a:t>
            </a:r>
            <a:r>
              <a:rPr lang="en-US" sz="1800" b="1" baseline="0">
                <a:solidFill>
                  <a:schemeClr val="tx1"/>
                </a:solidFill>
              </a:rPr>
              <a:t> Grade 1-5 Attrition Rate of 5 Cohorts (Ending in 2015/16 - 2020/21) vs Proportion of Students in FI (2010/11). Outliers removed</a:t>
            </a:r>
            <a:endParaRPr lang="en-US" sz="18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Attrition rate % student in FI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'2020-2021'!$V$4:$V$63</c:f>
              <c:numCache>
                <c:formatCode>0.00%</c:formatCode>
                <c:ptCount val="60"/>
                <c:pt idx="0">
                  <c:v>7.0456663560111835E-2</c:v>
                </c:pt>
                <c:pt idx="1">
                  <c:v>7.0250458155161885E-2</c:v>
                </c:pt>
                <c:pt idx="2">
                  <c:v>4.9716687991226464E-2</c:v>
                </c:pt>
                <c:pt idx="5">
                  <c:v>4.4004944375772556E-2</c:v>
                </c:pt>
                <c:pt idx="6">
                  <c:v>0.11059118922620406</c:v>
                </c:pt>
                <c:pt idx="7">
                  <c:v>9.0412342731196624E-2</c:v>
                </c:pt>
                <c:pt idx="8">
                  <c:v>5.597826086956522E-2</c:v>
                </c:pt>
                <c:pt idx="9">
                  <c:v>5.6960266740761323E-2</c:v>
                </c:pt>
                <c:pt idx="10">
                  <c:v>3.4423653763748036E-2</c:v>
                </c:pt>
                <c:pt idx="11">
                  <c:v>6.0113687811258108E-2</c:v>
                </c:pt>
                <c:pt idx="12">
                  <c:v>6.9351907934585094E-2</c:v>
                </c:pt>
                <c:pt idx="13">
                  <c:v>4.168684367087732E-2</c:v>
                </c:pt>
                <c:pt idx="14">
                  <c:v>0.11533787068546426</c:v>
                </c:pt>
                <c:pt idx="15">
                  <c:v>9.6245851471919316E-2</c:v>
                </c:pt>
                <c:pt idx="16">
                  <c:v>8.1048827059465353E-2</c:v>
                </c:pt>
                <c:pt idx="17">
                  <c:v>0.11654980817568461</c:v>
                </c:pt>
                <c:pt idx="18">
                  <c:v>7.425453128045216E-2</c:v>
                </c:pt>
                <c:pt idx="19">
                  <c:v>9.5107453132144484E-2</c:v>
                </c:pt>
                <c:pt idx="20">
                  <c:v>8.6595635507530716E-2</c:v>
                </c:pt>
                <c:pt idx="21">
                  <c:v>0.13874602008327211</c:v>
                </c:pt>
                <c:pt idx="22">
                  <c:v>0.11752988047808766</c:v>
                </c:pt>
                <c:pt idx="25">
                  <c:v>7.7875684686830204E-2</c:v>
                </c:pt>
                <c:pt idx="27">
                  <c:v>1.9553072625698324E-2</c:v>
                </c:pt>
                <c:pt idx="29">
                  <c:v>7.0876288659793812E-2</c:v>
                </c:pt>
                <c:pt idx="31">
                  <c:v>6.2842682412484183E-2</c:v>
                </c:pt>
                <c:pt idx="32">
                  <c:v>5.3514546612868974E-2</c:v>
                </c:pt>
                <c:pt idx="33">
                  <c:v>6.2287655719139301E-2</c:v>
                </c:pt>
                <c:pt idx="34">
                  <c:v>9.0327344326852077E-2</c:v>
                </c:pt>
                <c:pt idx="35">
                  <c:v>6.2148816618423294E-2</c:v>
                </c:pt>
                <c:pt idx="36">
                  <c:v>0.15485525472209893</c:v>
                </c:pt>
                <c:pt idx="37">
                  <c:v>8.9457544675901446E-2</c:v>
                </c:pt>
                <c:pt idx="38">
                  <c:v>9.1835684134664877E-2</c:v>
                </c:pt>
                <c:pt idx="39">
                  <c:v>7.7018633540372666E-2</c:v>
                </c:pt>
                <c:pt idx="40">
                  <c:v>0.10025180988353793</c:v>
                </c:pt>
                <c:pt idx="41">
                  <c:v>8.8862393042502458E-2</c:v>
                </c:pt>
                <c:pt idx="42">
                  <c:v>8.338967771016452E-2</c:v>
                </c:pt>
                <c:pt idx="43">
                  <c:v>8.4517045454545456E-2</c:v>
                </c:pt>
                <c:pt idx="44">
                  <c:v>0.10190763052208836</c:v>
                </c:pt>
                <c:pt idx="45">
                  <c:v>0.14243705201249771</c:v>
                </c:pt>
                <c:pt idx="46">
                  <c:v>6.8183321208914752E-2</c:v>
                </c:pt>
                <c:pt idx="48">
                  <c:v>7.1261500077966625E-2</c:v>
                </c:pt>
                <c:pt idx="50">
                  <c:v>9.1158245948522398E-2</c:v>
                </c:pt>
                <c:pt idx="52">
                  <c:v>6.5613382899628259E-2</c:v>
                </c:pt>
                <c:pt idx="53">
                  <c:v>9.0141651166118192E-2</c:v>
                </c:pt>
                <c:pt idx="57">
                  <c:v>4.073789392774789E-2</c:v>
                </c:pt>
                <c:pt idx="59">
                  <c:v>7.7447885728494661E-2</c:v>
                </c:pt>
              </c:numCache>
            </c:numRef>
          </c:xVal>
          <c:yVal>
            <c:numRef>
              <c:f>'2020-2021'!$Y$4:$Y$63</c:f>
              <c:numCache>
                <c:formatCode>0.00%</c:formatCode>
                <c:ptCount val="60"/>
                <c:pt idx="0">
                  <c:v>-0.8473497794229502</c:v>
                </c:pt>
                <c:pt idx="6">
                  <c:v>3.8745958108630449E-2</c:v>
                </c:pt>
                <c:pt idx="7">
                  <c:v>0.12699505617582479</c:v>
                </c:pt>
                <c:pt idx="8">
                  <c:v>0.16916121083807742</c:v>
                </c:pt>
                <c:pt idx="9">
                  <c:v>0.20409523809523805</c:v>
                </c:pt>
                <c:pt idx="11">
                  <c:v>0.28102058970121302</c:v>
                </c:pt>
                <c:pt idx="12">
                  <c:v>0.1062172187715666</c:v>
                </c:pt>
                <c:pt idx="13">
                  <c:v>0.17937400720670682</c:v>
                </c:pt>
                <c:pt idx="14">
                  <c:v>0.15355217865484935</c:v>
                </c:pt>
                <c:pt idx="15">
                  <c:v>0.1444643897477535</c:v>
                </c:pt>
                <c:pt idx="16">
                  <c:v>0.16765996742120842</c:v>
                </c:pt>
                <c:pt idx="17">
                  <c:v>0.18216323466323464</c:v>
                </c:pt>
                <c:pt idx="18">
                  <c:v>0.22770000000000001</c:v>
                </c:pt>
                <c:pt idx="19">
                  <c:v>0.15119329274289295</c:v>
                </c:pt>
                <c:pt idx="20">
                  <c:v>0.23659825961578623</c:v>
                </c:pt>
                <c:pt idx="21">
                  <c:v>0.16698291739132037</c:v>
                </c:pt>
                <c:pt idx="22">
                  <c:v>8.0982573541475616E-2</c:v>
                </c:pt>
                <c:pt idx="29">
                  <c:v>0.20194805194805193</c:v>
                </c:pt>
                <c:pt idx="31">
                  <c:v>0.18878459503459505</c:v>
                </c:pt>
                <c:pt idx="32">
                  <c:v>0.17442189860844157</c:v>
                </c:pt>
                <c:pt idx="33">
                  <c:v>0.10179487179487179</c:v>
                </c:pt>
                <c:pt idx="34">
                  <c:v>0.49153940886699504</c:v>
                </c:pt>
                <c:pt idx="35">
                  <c:v>0.20028244631185807</c:v>
                </c:pt>
                <c:pt idx="36">
                  <c:v>0.18977635734412079</c:v>
                </c:pt>
                <c:pt idx="37">
                  <c:v>0.16137526487492249</c:v>
                </c:pt>
                <c:pt idx="38">
                  <c:v>0.13683904328492244</c:v>
                </c:pt>
                <c:pt idx="41">
                  <c:v>0.12811501069097345</c:v>
                </c:pt>
                <c:pt idx="42">
                  <c:v>0.145643775586692</c:v>
                </c:pt>
                <c:pt idx="43">
                  <c:v>-1.0628183361629901E-2</c:v>
                </c:pt>
                <c:pt idx="44">
                  <c:v>0.11284307298348248</c:v>
                </c:pt>
                <c:pt idx="45">
                  <c:v>0.22651999214499216</c:v>
                </c:pt>
                <c:pt idx="46">
                  <c:v>0.11424293098206142</c:v>
                </c:pt>
                <c:pt idx="48">
                  <c:v>0.28784551706344963</c:v>
                </c:pt>
                <c:pt idx="50">
                  <c:v>0.15595616185835551</c:v>
                </c:pt>
                <c:pt idx="52">
                  <c:v>0.32387153781890621</c:v>
                </c:pt>
                <c:pt idx="53">
                  <c:v>7.9879227053140087E-2</c:v>
                </c:pt>
                <c:pt idx="57">
                  <c:v>0.28747492617461656</c:v>
                </c:pt>
                <c:pt idx="59">
                  <c:v>0.14778600595450397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9B2-4A52-9E7A-3EF1AA855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8556976"/>
        <c:axId val="440795824"/>
      </c:scatterChart>
      <c:valAx>
        <c:axId val="538556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0">
                    <a:solidFill>
                      <a:schemeClr val="tx1"/>
                    </a:solidFill>
                  </a:rPr>
                  <a:t>Percentag</a:t>
                </a:r>
                <a:r>
                  <a:rPr lang="en-US" sz="1800" b="0" baseline="0">
                    <a:solidFill>
                      <a:schemeClr val="tx1"/>
                    </a:solidFill>
                  </a:rPr>
                  <a:t>e of Students in FI 2010/11</a:t>
                </a:r>
                <a:endParaRPr lang="en-US" sz="1800" b="0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795824"/>
        <c:crosses val="autoZero"/>
        <c:crossBetween val="midCat"/>
      </c:valAx>
      <c:valAx>
        <c:axId val="440795824"/>
        <c:scaling>
          <c:orientation val="minMax"/>
          <c:min val="-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0">
                    <a:solidFill>
                      <a:schemeClr val="tx1"/>
                    </a:solidFill>
                  </a:rPr>
                  <a:t>Average</a:t>
                </a:r>
                <a:r>
                  <a:rPr lang="en-US" sz="1800" b="0" baseline="0">
                    <a:solidFill>
                      <a:schemeClr val="tx1"/>
                    </a:solidFill>
                  </a:rPr>
                  <a:t> Grade 1-5 Percentage Attrition of the Past 5 Cohorts</a:t>
                </a:r>
                <a:endParaRPr lang="en-US" sz="1800" b="0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8556976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solidFill>
                  <a:schemeClr val="tx1"/>
                </a:solidFill>
              </a:rPr>
              <a:t>Figure 2. Average Grade 7-12</a:t>
            </a:r>
            <a:r>
              <a:rPr lang="en-US" sz="1800" b="1" baseline="0">
                <a:solidFill>
                  <a:schemeClr val="tx1"/>
                </a:solidFill>
              </a:rPr>
              <a:t> Attrition Rate of 5 Cohorts (Ending 2015/16 - 2020/21) vs Proportion of Student in FI (2010/11). Outliers removed</a:t>
            </a:r>
            <a:endParaRPr lang="en-US" sz="18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Average 7-12 Attrition % Student FI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'2020-2021'!$V$4:$V$63</c:f>
              <c:numCache>
                <c:formatCode>0.00%</c:formatCode>
                <c:ptCount val="60"/>
                <c:pt idx="0">
                  <c:v>7.0456663560111835E-2</c:v>
                </c:pt>
                <c:pt idx="1">
                  <c:v>7.0250458155161885E-2</c:v>
                </c:pt>
                <c:pt idx="2">
                  <c:v>4.9716687991226464E-2</c:v>
                </c:pt>
                <c:pt idx="5">
                  <c:v>4.4004944375772556E-2</c:v>
                </c:pt>
                <c:pt idx="6">
                  <c:v>0.11059118922620406</c:v>
                </c:pt>
                <c:pt idx="7">
                  <c:v>9.0412342731196624E-2</c:v>
                </c:pt>
                <c:pt idx="8">
                  <c:v>5.597826086956522E-2</c:v>
                </c:pt>
                <c:pt idx="9">
                  <c:v>5.6960266740761323E-2</c:v>
                </c:pt>
                <c:pt idx="10">
                  <c:v>3.4423653763748036E-2</c:v>
                </c:pt>
                <c:pt idx="11">
                  <c:v>6.0113687811258108E-2</c:v>
                </c:pt>
                <c:pt idx="12">
                  <c:v>6.9351907934585094E-2</c:v>
                </c:pt>
                <c:pt idx="13">
                  <c:v>4.168684367087732E-2</c:v>
                </c:pt>
                <c:pt idx="14">
                  <c:v>0.11533787068546426</c:v>
                </c:pt>
                <c:pt idx="15">
                  <c:v>9.6245851471919316E-2</c:v>
                </c:pt>
                <c:pt idx="16">
                  <c:v>8.1048827059465353E-2</c:v>
                </c:pt>
                <c:pt idx="17">
                  <c:v>0.11654980817568461</c:v>
                </c:pt>
                <c:pt idx="18">
                  <c:v>7.425453128045216E-2</c:v>
                </c:pt>
                <c:pt idx="19">
                  <c:v>9.5107453132144484E-2</c:v>
                </c:pt>
                <c:pt idx="20">
                  <c:v>8.6595635507530716E-2</c:v>
                </c:pt>
                <c:pt idx="21">
                  <c:v>0.13874602008327211</c:v>
                </c:pt>
                <c:pt idx="22">
                  <c:v>0.11752988047808766</c:v>
                </c:pt>
                <c:pt idx="25">
                  <c:v>7.7875684686830204E-2</c:v>
                </c:pt>
                <c:pt idx="27">
                  <c:v>1.9553072625698324E-2</c:v>
                </c:pt>
                <c:pt idx="29">
                  <c:v>7.0876288659793812E-2</c:v>
                </c:pt>
                <c:pt idx="31">
                  <c:v>6.2842682412484183E-2</c:v>
                </c:pt>
                <c:pt idx="32">
                  <c:v>5.3514546612868974E-2</c:v>
                </c:pt>
                <c:pt idx="33">
                  <c:v>6.2287655719139301E-2</c:v>
                </c:pt>
                <c:pt idx="34">
                  <c:v>9.0327344326852077E-2</c:v>
                </c:pt>
                <c:pt idx="35">
                  <c:v>6.2148816618423294E-2</c:v>
                </c:pt>
                <c:pt idx="36">
                  <c:v>0.15485525472209893</c:v>
                </c:pt>
                <c:pt idx="37">
                  <c:v>8.9457544675901446E-2</c:v>
                </c:pt>
                <c:pt idx="38">
                  <c:v>9.1835684134664877E-2</c:v>
                </c:pt>
                <c:pt idx="39">
                  <c:v>7.7018633540372666E-2</c:v>
                </c:pt>
                <c:pt idx="40">
                  <c:v>0.10025180988353793</c:v>
                </c:pt>
                <c:pt idx="41">
                  <c:v>8.8862393042502458E-2</c:v>
                </c:pt>
                <c:pt idx="42">
                  <c:v>8.338967771016452E-2</c:v>
                </c:pt>
                <c:pt idx="43">
                  <c:v>8.4517045454545456E-2</c:v>
                </c:pt>
                <c:pt idx="44">
                  <c:v>0.10190763052208836</c:v>
                </c:pt>
                <c:pt idx="45">
                  <c:v>0.14243705201249771</c:v>
                </c:pt>
                <c:pt idx="46">
                  <c:v>6.8183321208914752E-2</c:v>
                </c:pt>
                <c:pt idx="48">
                  <c:v>7.1261500077966625E-2</c:v>
                </c:pt>
                <c:pt idx="50">
                  <c:v>9.1158245948522398E-2</c:v>
                </c:pt>
                <c:pt idx="52">
                  <c:v>6.5613382899628259E-2</c:v>
                </c:pt>
                <c:pt idx="53">
                  <c:v>9.0141651166118192E-2</c:v>
                </c:pt>
                <c:pt idx="57">
                  <c:v>4.073789392774789E-2</c:v>
                </c:pt>
                <c:pt idx="59">
                  <c:v>7.7447885728494661E-2</c:v>
                </c:pt>
              </c:numCache>
            </c:numRef>
          </c:xVal>
          <c:yVal>
            <c:numRef>
              <c:f>'2020-2021'!$AA$4:$AA$63</c:f>
              <c:numCache>
                <c:formatCode>0.00%</c:formatCode>
                <c:ptCount val="60"/>
                <c:pt idx="0">
                  <c:v>0.38482187167671034</c:v>
                </c:pt>
                <c:pt idx="1">
                  <c:v>0.47567173280795572</c:v>
                </c:pt>
                <c:pt idx="2">
                  <c:v>0.43946358079485009</c:v>
                </c:pt>
                <c:pt idx="5">
                  <c:v>0.35600245876535597</c:v>
                </c:pt>
                <c:pt idx="6">
                  <c:v>0.24839716349764518</c:v>
                </c:pt>
                <c:pt idx="7">
                  <c:v>0.27066133566176953</c:v>
                </c:pt>
                <c:pt idx="8">
                  <c:v>0.45104761904761909</c:v>
                </c:pt>
                <c:pt idx="9">
                  <c:v>0.36539184499710819</c:v>
                </c:pt>
                <c:pt idx="10">
                  <c:v>0.33229284229284228</c:v>
                </c:pt>
                <c:pt idx="11">
                  <c:v>0.21893579750981934</c:v>
                </c:pt>
                <c:pt idx="12">
                  <c:v>0.48680190490976766</c:v>
                </c:pt>
                <c:pt idx="13">
                  <c:v>0.32834767410704074</c:v>
                </c:pt>
                <c:pt idx="14">
                  <c:v>0.39022573745647088</c:v>
                </c:pt>
                <c:pt idx="15">
                  <c:v>0.32329077122830652</c:v>
                </c:pt>
                <c:pt idx="16">
                  <c:v>0.46778730459766849</c:v>
                </c:pt>
                <c:pt idx="17">
                  <c:v>0.38792234173446671</c:v>
                </c:pt>
                <c:pt idx="18">
                  <c:v>0.4803383632216004</c:v>
                </c:pt>
                <c:pt idx="19">
                  <c:v>0.50810468778438567</c:v>
                </c:pt>
                <c:pt idx="20">
                  <c:v>0.28485130927373836</c:v>
                </c:pt>
                <c:pt idx="21">
                  <c:v>0.38839874972365562</c:v>
                </c:pt>
                <c:pt idx="22">
                  <c:v>0.34251168716091163</c:v>
                </c:pt>
                <c:pt idx="25">
                  <c:v>0.48419281007720533</c:v>
                </c:pt>
                <c:pt idx="29">
                  <c:v>0.33846153846153842</c:v>
                </c:pt>
                <c:pt idx="32">
                  <c:v>0.23138512629652394</c:v>
                </c:pt>
                <c:pt idx="33">
                  <c:v>0.79999999999999993</c:v>
                </c:pt>
                <c:pt idx="34">
                  <c:v>0.43910549220894052</c:v>
                </c:pt>
                <c:pt idx="35">
                  <c:v>0.35467980295566504</c:v>
                </c:pt>
                <c:pt idx="36">
                  <c:v>0.3922425158544765</c:v>
                </c:pt>
                <c:pt idx="37">
                  <c:v>0.26215417851700573</c:v>
                </c:pt>
                <c:pt idx="40">
                  <c:v>0.41070345142138276</c:v>
                </c:pt>
                <c:pt idx="41">
                  <c:v>0.5421761386831514</c:v>
                </c:pt>
                <c:pt idx="42">
                  <c:v>0.45023879346459994</c:v>
                </c:pt>
                <c:pt idx="43">
                  <c:v>0.56079005833510498</c:v>
                </c:pt>
                <c:pt idx="44">
                  <c:v>0.27086016445968047</c:v>
                </c:pt>
                <c:pt idx="45">
                  <c:v>0.31550461552679565</c:v>
                </c:pt>
                <c:pt idx="46">
                  <c:v>0.20938012207242548</c:v>
                </c:pt>
                <c:pt idx="48">
                  <c:v>0.51572064916051463</c:v>
                </c:pt>
                <c:pt idx="50">
                  <c:v>0.43704366937785072</c:v>
                </c:pt>
                <c:pt idx="52">
                  <c:v>0.46857825567502986</c:v>
                </c:pt>
                <c:pt idx="53">
                  <c:v>0.35526471821337791</c:v>
                </c:pt>
                <c:pt idx="59">
                  <c:v>0.39424372197527408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B85-4C9B-8B3E-B56F8BB722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3454832"/>
        <c:axId val="393681200"/>
      </c:scatterChart>
      <c:valAx>
        <c:axId val="283454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>
                    <a:solidFill>
                      <a:schemeClr val="tx1"/>
                    </a:solidFill>
                  </a:rPr>
                  <a:t>Percentage</a:t>
                </a:r>
                <a:r>
                  <a:rPr lang="en-US" sz="1800" baseline="0">
                    <a:solidFill>
                      <a:schemeClr val="tx1"/>
                    </a:solidFill>
                  </a:rPr>
                  <a:t> of Students in FI in 2010/11</a:t>
                </a:r>
                <a:endParaRPr lang="en-US" sz="1800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681200"/>
        <c:crosses val="autoZero"/>
        <c:crossBetween val="midCat"/>
      </c:valAx>
      <c:valAx>
        <c:axId val="393681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>
                    <a:solidFill>
                      <a:schemeClr val="tx1"/>
                    </a:solidFill>
                  </a:rPr>
                  <a:t>Average</a:t>
                </a:r>
                <a:r>
                  <a:rPr lang="en-US" sz="1800" baseline="0">
                    <a:solidFill>
                      <a:schemeClr val="tx1"/>
                    </a:solidFill>
                  </a:rPr>
                  <a:t> Grade 7-12 Percentage Attrition of the Past 5 Cohorts </a:t>
                </a:r>
                <a:endParaRPr lang="en-US" sz="1800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3454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2000" b="1">
                <a:solidFill>
                  <a:schemeClr val="tx1"/>
                </a:solidFill>
              </a:rPr>
              <a:t>Figure 1. Change</a:t>
            </a:r>
            <a:r>
              <a:rPr lang="en-US" sz="2000" b="1" baseline="0">
                <a:solidFill>
                  <a:schemeClr val="tx1"/>
                </a:solidFill>
              </a:rPr>
              <a:t> in Proportion of Students in FI vs Percentage Change in Total Enrolment for BC SDs (2020/21 - 2021/22, 2 years). Outliers removed</a:t>
            </a:r>
            <a:endParaRPr lang="en-US" sz="20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% Change in FI enrolment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20"/>
            <c:marker>
              <c:symbol val="circle"/>
              <c:size val="10"/>
              <c:spPr>
                <a:solidFill>
                  <a:schemeClr val="accent1"/>
                </a:solidFill>
                <a:ln w="12700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032B-9E4A-B8EB-F155DD8BBAF8}"/>
              </c:ext>
            </c:extLst>
          </c:dPt>
          <c:xVal>
            <c:numRef>
              <c:f>'2021-2022'!$L$4:$L$63</c:f>
              <c:numCache>
                <c:formatCode>0.00%</c:formatCode>
                <c:ptCount val="60"/>
                <c:pt idx="0">
                  <c:v>5.5855855855855858E-3</c:v>
                </c:pt>
                <c:pt idx="1">
                  <c:v>3.0875299760191845E-2</c:v>
                </c:pt>
                <c:pt idx="2">
                  <c:v>-9.5450852965069055E-2</c:v>
                </c:pt>
                <c:pt idx="5">
                  <c:v>4.7765793528505393E-2</c:v>
                </c:pt>
                <c:pt idx="6">
                  <c:v>5.9670059670059667E-3</c:v>
                </c:pt>
                <c:pt idx="7">
                  <c:v>1.0789056813803143E-2</c:v>
                </c:pt>
                <c:pt idx="8">
                  <c:v>2.4619516562220233E-3</c:v>
                </c:pt>
                <c:pt idx="9">
                  <c:v>-2.3744911804613297E-2</c:v>
                </c:pt>
                <c:pt idx="10">
                  <c:v>2.4961343052794346E-2</c:v>
                </c:pt>
                <c:pt idx="11">
                  <c:v>-3.0220904070362039E-2</c:v>
                </c:pt>
                <c:pt idx="12">
                  <c:v>5.1815806073713614E-3</c:v>
                </c:pt>
                <c:pt idx="13">
                  <c:v>-3.5655781018812088E-2</c:v>
                </c:pt>
                <c:pt idx="14">
                  <c:v>-1.6302676099661642E-2</c:v>
                </c:pt>
                <c:pt idx="15">
                  <c:v>-9.286128845037725E-3</c:v>
                </c:pt>
                <c:pt idx="16">
                  <c:v>-5.6452401917620583E-2</c:v>
                </c:pt>
                <c:pt idx="17">
                  <c:v>-0.15492414502442786</c:v>
                </c:pt>
                <c:pt idx="18">
                  <c:v>-3.2102600868283745E-2</c:v>
                </c:pt>
                <c:pt idx="19">
                  <c:v>6.7763157894736841E-3</c:v>
                </c:pt>
                <c:pt idx="20">
                  <c:v>-5.9281418846729141E-2</c:v>
                </c:pt>
                <c:pt idx="21">
                  <c:v>0</c:v>
                </c:pt>
                <c:pt idx="22">
                  <c:v>4.4861909435020327E-3</c:v>
                </c:pt>
                <c:pt idx="24">
                  <c:v>-1.6862869869551385E-2</c:v>
                </c:pt>
                <c:pt idx="25">
                  <c:v>1.7004830917874397E-2</c:v>
                </c:pt>
                <c:pt idx="27">
                  <c:v>-1</c:v>
                </c:pt>
                <c:pt idx="29">
                  <c:v>-3.5480349344978165E-2</c:v>
                </c:pt>
                <c:pt idx="30">
                  <c:v>-4.0712468193384227E-2</c:v>
                </c:pt>
                <c:pt idx="31">
                  <c:v>-5.1662404092071609E-2</c:v>
                </c:pt>
                <c:pt idx="32">
                  <c:v>-2.943442749267992E-2</c:v>
                </c:pt>
                <c:pt idx="33">
                  <c:v>-0.15031503150315031</c:v>
                </c:pt>
                <c:pt idx="34">
                  <c:v>4.7725996631106122E-3</c:v>
                </c:pt>
                <c:pt idx="35">
                  <c:v>-6.3971992361553154E-2</c:v>
                </c:pt>
                <c:pt idx="36">
                  <c:v>2.4345051212105614E-2</c:v>
                </c:pt>
                <c:pt idx="37">
                  <c:v>-7.8860340880183167E-3</c:v>
                </c:pt>
                <c:pt idx="38">
                  <c:v>-0.23796097891056728</c:v>
                </c:pt>
                <c:pt idx="39">
                  <c:v>-1</c:v>
                </c:pt>
                <c:pt idx="40">
                  <c:v>-1.0427712972781902E-2</c:v>
                </c:pt>
                <c:pt idx="41">
                  <c:v>-2.1774521774521775E-2</c:v>
                </c:pt>
                <c:pt idx="42">
                  <c:v>-5.3296577073282794E-2</c:v>
                </c:pt>
                <c:pt idx="43">
                  <c:v>-5.8545550013126807E-2</c:v>
                </c:pt>
                <c:pt idx="44">
                  <c:v>-0.23368320610687024</c:v>
                </c:pt>
                <c:pt idx="45">
                  <c:v>-2.2617723396366331E-2</c:v>
                </c:pt>
                <c:pt idx="46">
                  <c:v>-1.8545406546990495E-2</c:v>
                </c:pt>
                <c:pt idx="48">
                  <c:v>-1.8646192416170479E-2</c:v>
                </c:pt>
                <c:pt idx="50">
                  <c:v>-3.3103618016244153E-2</c:v>
                </c:pt>
                <c:pt idx="52">
                  <c:v>-1.7694641051567239E-3</c:v>
                </c:pt>
                <c:pt idx="53">
                  <c:v>2.5961839224272757E-2</c:v>
                </c:pt>
                <c:pt idx="57">
                  <c:v>-0.32971098265895954</c:v>
                </c:pt>
                <c:pt idx="59">
                  <c:v>-3.4522261385852876E-2</c:v>
                </c:pt>
              </c:numCache>
            </c:numRef>
          </c:xVal>
          <c:yVal>
            <c:numRef>
              <c:f>'2020-2021'!$S$4:$S$63</c:f>
              <c:numCache>
                <c:formatCode>0.00%</c:formatCode>
                <c:ptCount val="60"/>
                <c:pt idx="0">
                  <c:v>3.2501574642804787E-3</c:v>
                </c:pt>
                <c:pt idx="1">
                  <c:v>5.8626597989543811E-4</c:v>
                </c:pt>
                <c:pt idx="2">
                  <c:v>3.4390357031342106E-3</c:v>
                </c:pt>
                <c:pt idx="5">
                  <c:v>7.8892045172465619E-4</c:v>
                </c:pt>
                <c:pt idx="6">
                  <c:v>1.3911625237529035E-3</c:v>
                </c:pt>
                <c:pt idx="7">
                  <c:v>-1.4745321755565144E-3</c:v>
                </c:pt>
                <c:pt idx="8">
                  <c:v>-4.3623692170998568E-3</c:v>
                </c:pt>
                <c:pt idx="9">
                  <c:v>-1.022627504190271E-3</c:v>
                </c:pt>
                <c:pt idx="10">
                  <c:v>2.2644580070665735E-3</c:v>
                </c:pt>
                <c:pt idx="11">
                  <c:v>-5.1803723165132209E-4</c:v>
                </c:pt>
                <c:pt idx="12">
                  <c:v>-6.0332446000460616E-4</c:v>
                </c:pt>
                <c:pt idx="13">
                  <c:v>-1.6629263530790334E-3</c:v>
                </c:pt>
                <c:pt idx="14">
                  <c:v>-6.2517062763734754E-3</c:v>
                </c:pt>
                <c:pt idx="15">
                  <c:v>1.2538418208645624E-3</c:v>
                </c:pt>
                <c:pt idx="16">
                  <c:v>-1.9189520817318034E-3</c:v>
                </c:pt>
                <c:pt idx="17">
                  <c:v>6.9823721176337505E-4</c:v>
                </c:pt>
                <c:pt idx="18">
                  <c:v>2.9034350491417421E-3</c:v>
                </c:pt>
                <c:pt idx="19">
                  <c:v>8.8307528211259423E-4</c:v>
                </c:pt>
                <c:pt idx="20">
                  <c:v>2.6107199084524496E-3</c:v>
                </c:pt>
                <c:pt idx="21">
                  <c:v>5.09357938782104E-3</c:v>
                </c:pt>
                <c:pt idx="22">
                  <c:v>5.38949134733549E-3</c:v>
                </c:pt>
                <c:pt idx="24">
                  <c:v>-8.3255686701355011E-3</c:v>
                </c:pt>
                <c:pt idx="25">
                  <c:v>-2.299216424935302E-3</c:v>
                </c:pt>
                <c:pt idx="27">
                  <c:v>0</c:v>
                </c:pt>
                <c:pt idx="29">
                  <c:v>-7.7560974512304315E-4</c:v>
                </c:pt>
                <c:pt idx="30">
                  <c:v>-6.6183728979384449E-4</c:v>
                </c:pt>
                <c:pt idx="31">
                  <c:v>8.978949439307507E-3</c:v>
                </c:pt>
                <c:pt idx="32">
                  <c:v>2.124242645448568E-3</c:v>
                </c:pt>
                <c:pt idx="33">
                  <c:v>5.0950609284123177E-3</c:v>
                </c:pt>
                <c:pt idx="34">
                  <c:v>-4.5244885093137094E-3</c:v>
                </c:pt>
                <c:pt idx="35">
                  <c:v>-3.1139808143376135E-3</c:v>
                </c:pt>
                <c:pt idx="36">
                  <c:v>7.8708286875522893E-3</c:v>
                </c:pt>
                <c:pt idx="37">
                  <c:v>2.4133238630860421E-3</c:v>
                </c:pt>
                <c:pt idx="38">
                  <c:v>2.4652830388213753E-4</c:v>
                </c:pt>
                <c:pt idx="39">
                  <c:v>9.8854883215489242E-3</c:v>
                </c:pt>
                <c:pt idx="40">
                  <c:v>1.3137382401389175E-3</c:v>
                </c:pt>
                <c:pt idx="41">
                  <c:v>5.3293215744182332E-4</c:v>
                </c:pt>
                <c:pt idx="42">
                  <c:v>-4.0951495822161288E-4</c:v>
                </c:pt>
                <c:pt idx="43">
                  <c:v>-7.3465875274802001E-3</c:v>
                </c:pt>
                <c:pt idx="44">
                  <c:v>-1.7171584645410243E-2</c:v>
                </c:pt>
                <c:pt idx="45">
                  <c:v>-4.2388592472489828E-3</c:v>
                </c:pt>
                <c:pt idx="46">
                  <c:v>-1.2515072199916766E-3</c:v>
                </c:pt>
                <c:pt idx="48">
                  <c:v>-9.3950700216739735E-4</c:v>
                </c:pt>
                <c:pt idx="50">
                  <c:v>-6.1767887595126636E-5</c:v>
                </c:pt>
                <c:pt idx="52">
                  <c:v>2.9944510677294839E-3</c:v>
                </c:pt>
                <c:pt idx="53">
                  <c:v>1.6188285005546699E-3</c:v>
                </c:pt>
                <c:pt idx="57">
                  <c:v>-1.3438510897809834E-2</c:v>
                </c:pt>
                <c:pt idx="59">
                  <c:v>-3.2450841000174202E-4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32B-9E4A-B8EB-F155DD8BBA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3584720"/>
        <c:axId val="463894352"/>
      </c:scatterChart>
      <c:valAx>
        <c:axId val="463584720"/>
        <c:scaling>
          <c:orientation val="minMax"/>
          <c:max val="0.30000000000000004"/>
          <c:min val="-0.3000000000000000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="0">
                    <a:solidFill>
                      <a:schemeClr val="tx1"/>
                    </a:solidFill>
                  </a:rPr>
                  <a:t>Change in Total Enrolment Compared</a:t>
                </a:r>
                <a:r>
                  <a:rPr lang="en-US" sz="2000" b="0" baseline="0">
                    <a:solidFill>
                      <a:schemeClr val="tx1"/>
                    </a:solidFill>
                  </a:rPr>
                  <a:t> to Previous Year</a:t>
                </a:r>
                <a:endParaRPr lang="en-US" sz="2000" b="0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3894352"/>
        <c:crosses val="autoZero"/>
        <c:crossBetween val="midCat"/>
      </c:valAx>
      <c:valAx>
        <c:axId val="463894352"/>
        <c:scaling>
          <c:orientation val="minMax"/>
          <c:min val="-1.000000000000000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="0">
                    <a:solidFill>
                      <a:schemeClr val="tx1"/>
                    </a:solidFill>
                  </a:rPr>
                  <a:t>Change</a:t>
                </a:r>
                <a:r>
                  <a:rPr lang="en-US" sz="2000" b="0" baseline="0">
                    <a:solidFill>
                      <a:schemeClr val="tx1"/>
                    </a:solidFill>
                  </a:rPr>
                  <a:t> in Proportion of Students in FI Compared to Previous Year</a:t>
                </a:r>
                <a:endParaRPr lang="en-US" sz="2000" b="0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low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3584720"/>
        <c:crosses val="autoZero"/>
        <c:crossBetween val="midCat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solidFill>
                  <a:schemeClr val="tx1"/>
                </a:solidFill>
              </a:rPr>
              <a:t>Figure 2. Average Grade 7-12</a:t>
            </a:r>
            <a:r>
              <a:rPr lang="en-US" sz="1800" b="1" baseline="0">
                <a:solidFill>
                  <a:schemeClr val="tx1"/>
                </a:solidFill>
              </a:rPr>
              <a:t> Attrition Rate of 5 Cohorts (Ending 2016/17 - 2021/22) vs Proportion of Student in FI (2011/12). Outliers removed</a:t>
            </a:r>
            <a:endParaRPr lang="en-US" sz="18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Average 7-12 Attrition % Student FI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'2021-2022'!$V$4:$V$63</c:f>
              <c:numCache>
                <c:formatCode>0.00%</c:formatCode>
                <c:ptCount val="60"/>
                <c:pt idx="0">
                  <c:v>7.6419634263715105E-2</c:v>
                </c:pt>
                <c:pt idx="1">
                  <c:v>0</c:v>
                </c:pt>
                <c:pt idx="2">
                  <c:v>6.0436002590114397E-2</c:v>
                </c:pt>
                <c:pt idx="5">
                  <c:v>4.5490610949484263E-2</c:v>
                </c:pt>
                <c:pt idx="6">
                  <c:v>0.12332439678284182</c:v>
                </c:pt>
                <c:pt idx="7">
                  <c:v>9.6184719992444989E-2</c:v>
                </c:pt>
                <c:pt idx="8">
                  <c:v>6.3200815494393478E-2</c:v>
                </c:pt>
                <c:pt idx="9">
                  <c:v>5.4941682013505216E-2</c:v>
                </c:pt>
                <c:pt idx="10">
                  <c:v>3.8520149001015913E-2</c:v>
                </c:pt>
                <c:pt idx="11">
                  <c:v>6.5092602621033252E-2</c:v>
                </c:pt>
                <c:pt idx="12">
                  <c:v>7.4375707890620785E-2</c:v>
                </c:pt>
                <c:pt idx="13">
                  <c:v>4.6945240609443356E-2</c:v>
                </c:pt>
                <c:pt idx="14">
                  <c:v>0.12443267776096822</c:v>
                </c:pt>
                <c:pt idx="15">
                  <c:v>0</c:v>
                </c:pt>
                <c:pt idx="16">
                  <c:v>9.1009313818665658E-2</c:v>
                </c:pt>
                <c:pt idx="17">
                  <c:v>0.15850935943671646</c:v>
                </c:pt>
                <c:pt idx="18">
                  <c:v>8.3770512443866199E-2</c:v>
                </c:pt>
                <c:pt idx="19">
                  <c:v>0.10144623768601971</c:v>
                </c:pt>
                <c:pt idx="20">
                  <c:v>9.9654775604142695E-2</c:v>
                </c:pt>
                <c:pt idx="21">
                  <c:v>0.15395016418775354</c:v>
                </c:pt>
                <c:pt idx="22">
                  <c:v>0.12411495210329029</c:v>
                </c:pt>
                <c:pt idx="25">
                  <c:v>9.0603220379716409E-2</c:v>
                </c:pt>
                <c:pt idx="27">
                  <c:v>0</c:v>
                </c:pt>
                <c:pt idx="29">
                  <c:v>7.5878220140515221E-2</c:v>
                </c:pt>
                <c:pt idx="31">
                  <c:v>7.4007220216606495E-2</c:v>
                </c:pt>
                <c:pt idx="32">
                  <c:v>6.4571877454831103E-2</c:v>
                </c:pt>
                <c:pt idx="33">
                  <c:v>7.9716981132075468E-2</c:v>
                </c:pt>
                <c:pt idx="34">
                  <c:v>0.10021041557075223</c:v>
                </c:pt>
                <c:pt idx="35">
                  <c:v>6.2999442482809892E-2</c:v>
                </c:pt>
                <c:pt idx="36">
                  <c:v>0.17374395627496322</c:v>
                </c:pt>
                <c:pt idx="37">
                  <c:v>0.10890386661936857</c:v>
                </c:pt>
                <c:pt idx="38">
                  <c:v>0.13307984790874525</c:v>
                </c:pt>
                <c:pt idx="39">
                  <c:v>0.1111111111111111</c:v>
                </c:pt>
                <c:pt idx="40">
                  <c:v>0.11296512598031036</c:v>
                </c:pt>
                <c:pt idx="41">
                  <c:v>9.5057034220532313E-2</c:v>
                </c:pt>
                <c:pt idx="42">
                  <c:v>9.0264187866927595E-2</c:v>
                </c:pt>
                <c:pt idx="43">
                  <c:v>9.839630334329981E-2</c:v>
                </c:pt>
                <c:pt idx="44">
                  <c:v>0.14122588266176664</c:v>
                </c:pt>
                <c:pt idx="45">
                  <c:v>0.16114398422090731</c:v>
                </c:pt>
                <c:pt idx="46">
                  <c:v>7.7567210224768618E-2</c:v>
                </c:pt>
                <c:pt idx="48">
                  <c:v>0</c:v>
                </c:pt>
                <c:pt idx="50">
                  <c:v>0.10488339131555212</c:v>
                </c:pt>
                <c:pt idx="52">
                  <c:v>7.8632478632478631E-2</c:v>
                </c:pt>
                <c:pt idx="53">
                  <c:v>0.10714285714285714</c:v>
                </c:pt>
                <c:pt idx="57">
                  <c:v>5.9558396281231843E-2</c:v>
                </c:pt>
                <c:pt idx="59">
                  <c:v>8.775239147544954E-2</c:v>
                </c:pt>
              </c:numCache>
            </c:numRef>
          </c:xVal>
          <c:yVal>
            <c:numRef>
              <c:f>'2021-2022'!$AA$4:$AA$63</c:f>
              <c:numCache>
                <c:formatCode>0.00%</c:formatCode>
                <c:ptCount val="60"/>
                <c:pt idx="0">
                  <c:v>0.38469999999999999</c:v>
                </c:pt>
                <c:pt idx="1">
                  <c:v>0.47760000000000002</c:v>
                </c:pt>
                <c:pt idx="2">
                  <c:v>0.44669999999999999</c:v>
                </c:pt>
                <c:pt idx="5">
                  <c:v>0.3856</c:v>
                </c:pt>
                <c:pt idx="6">
                  <c:v>0.25180000000000002</c:v>
                </c:pt>
                <c:pt idx="7">
                  <c:v>0.15033334813819788</c:v>
                </c:pt>
                <c:pt idx="8">
                  <c:v>0.47560000000000002</c:v>
                </c:pt>
                <c:pt idx="9">
                  <c:v>0.45900000000000002</c:v>
                </c:pt>
                <c:pt idx="10">
                  <c:v>0.33750000000000002</c:v>
                </c:pt>
                <c:pt idx="11">
                  <c:v>0.16520000000000001</c:v>
                </c:pt>
                <c:pt idx="12">
                  <c:v>0.49170000000000003</c:v>
                </c:pt>
                <c:pt idx="13">
                  <c:v>0.33489999999999998</c:v>
                </c:pt>
                <c:pt idx="14">
                  <c:v>0.3987</c:v>
                </c:pt>
                <c:pt idx="15">
                  <c:v>0.32519999999999999</c:v>
                </c:pt>
                <c:pt idx="16">
                  <c:v>0.47599999999999998</c:v>
                </c:pt>
                <c:pt idx="17">
                  <c:v>0.37659999999999999</c:v>
                </c:pt>
                <c:pt idx="18">
                  <c:v>0.44990000000000002</c:v>
                </c:pt>
                <c:pt idx="19">
                  <c:v>0.49930000000000002</c:v>
                </c:pt>
                <c:pt idx="20">
                  <c:v>0.28470000000000001</c:v>
                </c:pt>
                <c:pt idx="21">
                  <c:v>0.37680000000000002</c:v>
                </c:pt>
                <c:pt idx="22">
                  <c:v>0.32640000000000002</c:v>
                </c:pt>
                <c:pt idx="25">
                  <c:v>0.47699999999999998</c:v>
                </c:pt>
                <c:pt idx="29">
                  <c:v>0.3705</c:v>
                </c:pt>
                <c:pt idx="32">
                  <c:v>0.21340000000000001</c:v>
                </c:pt>
                <c:pt idx="33">
                  <c:v>0.71360000000000001</c:v>
                </c:pt>
                <c:pt idx="34">
                  <c:v>0.4733</c:v>
                </c:pt>
                <c:pt idx="35">
                  <c:v>0.35980000000000001</c:v>
                </c:pt>
                <c:pt idx="36">
                  <c:v>0.39889999999999998</c:v>
                </c:pt>
                <c:pt idx="37">
                  <c:v>0.2833</c:v>
                </c:pt>
                <c:pt idx="40">
                  <c:v>0.41170000000000001</c:v>
                </c:pt>
                <c:pt idx="41">
                  <c:v>0.55640000000000001</c:v>
                </c:pt>
                <c:pt idx="42">
                  <c:v>0.39019999999999999</c:v>
                </c:pt>
                <c:pt idx="43">
                  <c:v>0.59150000000000003</c:v>
                </c:pt>
                <c:pt idx="44">
                  <c:v>0.28949999999999998</c:v>
                </c:pt>
                <c:pt idx="45">
                  <c:v>0.30180000000000001</c:v>
                </c:pt>
                <c:pt idx="46">
                  <c:v>0.20169999999999999</c:v>
                </c:pt>
                <c:pt idx="48">
                  <c:v>0.49080000000000001</c:v>
                </c:pt>
                <c:pt idx="50">
                  <c:v>0.46789999999999998</c:v>
                </c:pt>
                <c:pt idx="52">
                  <c:v>0.46729999999999999</c:v>
                </c:pt>
                <c:pt idx="53">
                  <c:v>0.373</c:v>
                </c:pt>
                <c:pt idx="59">
                  <c:v>0.3926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766-B14F-ADC8-7B0147B1B5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3454832"/>
        <c:axId val="393681200"/>
      </c:scatterChart>
      <c:valAx>
        <c:axId val="283454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>
                    <a:solidFill>
                      <a:schemeClr val="tx1"/>
                    </a:solidFill>
                  </a:rPr>
                  <a:t>Percentage</a:t>
                </a:r>
                <a:r>
                  <a:rPr lang="en-US" sz="1800" baseline="0">
                    <a:solidFill>
                      <a:schemeClr val="tx1"/>
                    </a:solidFill>
                  </a:rPr>
                  <a:t> of Students in FI in 2011/12</a:t>
                </a:r>
                <a:endParaRPr lang="en-US" sz="1800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681200"/>
        <c:crosses val="autoZero"/>
        <c:crossBetween val="midCat"/>
      </c:valAx>
      <c:valAx>
        <c:axId val="393681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>
                    <a:solidFill>
                      <a:schemeClr val="tx1"/>
                    </a:solidFill>
                  </a:rPr>
                  <a:t>Average</a:t>
                </a:r>
                <a:r>
                  <a:rPr lang="en-US" sz="1800" baseline="0">
                    <a:solidFill>
                      <a:schemeClr val="tx1"/>
                    </a:solidFill>
                  </a:rPr>
                  <a:t> Grade 7-12 Percentage Attrition of the Past 5 Cohorts </a:t>
                </a:r>
                <a:endParaRPr lang="en-US" sz="1800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3454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solidFill>
                  <a:schemeClr val="tx1"/>
                </a:solidFill>
              </a:rPr>
              <a:t>Figure 1. Average</a:t>
            </a:r>
            <a:r>
              <a:rPr lang="en-US" sz="1800" b="1" baseline="0">
                <a:solidFill>
                  <a:schemeClr val="tx1"/>
                </a:solidFill>
              </a:rPr>
              <a:t> Grade 1-5 Attrition Rate of 5 Cohorts (Ending in 2016/17 - 2021/22) vs Proportion of Students in FI (2011/12). Outliers removed</a:t>
            </a:r>
            <a:endParaRPr lang="en-US" sz="18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Attrition rate % student in FI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'2021-2022'!$V$4:$V$63</c:f>
              <c:numCache>
                <c:formatCode>0.00%</c:formatCode>
                <c:ptCount val="60"/>
                <c:pt idx="0">
                  <c:v>7.6419634263715105E-2</c:v>
                </c:pt>
                <c:pt idx="1">
                  <c:v>0</c:v>
                </c:pt>
                <c:pt idx="2">
                  <c:v>6.0436002590114397E-2</c:v>
                </c:pt>
                <c:pt idx="5">
                  <c:v>4.5490610949484263E-2</c:v>
                </c:pt>
                <c:pt idx="6">
                  <c:v>0.12332439678284182</c:v>
                </c:pt>
                <c:pt idx="7">
                  <c:v>9.6184719992444989E-2</c:v>
                </c:pt>
                <c:pt idx="8">
                  <c:v>6.3200815494393478E-2</c:v>
                </c:pt>
                <c:pt idx="9">
                  <c:v>5.4941682013505216E-2</c:v>
                </c:pt>
                <c:pt idx="10">
                  <c:v>3.8520149001015913E-2</c:v>
                </c:pt>
                <c:pt idx="11">
                  <c:v>6.5092602621033252E-2</c:v>
                </c:pt>
                <c:pt idx="12">
                  <c:v>7.4375707890620785E-2</c:v>
                </c:pt>
                <c:pt idx="13">
                  <c:v>4.6945240609443356E-2</c:v>
                </c:pt>
                <c:pt idx="14">
                  <c:v>0.12443267776096822</c:v>
                </c:pt>
                <c:pt idx="15">
                  <c:v>0</c:v>
                </c:pt>
                <c:pt idx="16">
                  <c:v>9.1009313818665658E-2</c:v>
                </c:pt>
                <c:pt idx="17">
                  <c:v>0.15850935943671646</c:v>
                </c:pt>
                <c:pt idx="18">
                  <c:v>8.3770512443866199E-2</c:v>
                </c:pt>
                <c:pt idx="19">
                  <c:v>0.10144623768601971</c:v>
                </c:pt>
                <c:pt idx="20">
                  <c:v>9.9654775604142695E-2</c:v>
                </c:pt>
                <c:pt idx="21">
                  <c:v>0.15395016418775354</c:v>
                </c:pt>
                <c:pt idx="22">
                  <c:v>0.12411495210329029</c:v>
                </c:pt>
                <c:pt idx="25">
                  <c:v>9.0603220379716409E-2</c:v>
                </c:pt>
                <c:pt idx="27">
                  <c:v>0</c:v>
                </c:pt>
                <c:pt idx="29">
                  <c:v>7.5878220140515221E-2</c:v>
                </c:pt>
                <c:pt idx="31">
                  <c:v>7.4007220216606495E-2</c:v>
                </c:pt>
                <c:pt idx="32">
                  <c:v>6.4571877454831103E-2</c:v>
                </c:pt>
                <c:pt idx="33">
                  <c:v>7.9716981132075468E-2</c:v>
                </c:pt>
                <c:pt idx="34">
                  <c:v>0.10021041557075223</c:v>
                </c:pt>
                <c:pt idx="35">
                  <c:v>6.2999442482809892E-2</c:v>
                </c:pt>
                <c:pt idx="36">
                  <c:v>0.17374395627496322</c:v>
                </c:pt>
                <c:pt idx="37">
                  <c:v>0.10890386661936857</c:v>
                </c:pt>
                <c:pt idx="38">
                  <c:v>0.13307984790874525</c:v>
                </c:pt>
                <c:pt idx="39">
                  <c:v>0.1111111111111111</c:v>
                </c:pt>
                <c:pt idx="40">
                  <c:v>0.11296512598031036</c:v>
                </c:pt>
                <c:pt idx="41">
                  <c:v>9.5057034220532313E-2</c:v>
                </c:pt>
                <c:pt idx="42">
                  <c:v>9.0264187866927595E-2</c:v>
                </c:pt>
                <c:pt idx="43">
                  <c:v>9.839630334329981E-2</c:v>
                </c:pt>
                <c:pt idx="44">
                  <c:v>0.14122588266176664</c:v>
                </c:pt>
                <c:pt idx="45">
                  <c:v>0.16114398422090731</c:v>
                </c:pt>
                <c:pt idx="46">
                  <c:v>7.7567210224768618E-2</c:v>
                </c:pt>
                <c:pt idx="48">
                  <c:v>0</c:v>
                </c:pt>
                <c:pt idx="50">
                  <c:v>0.10488339131555212</c:v>
                </c:pt>
                <c:pt idx="52">
                  <c:v>7.8632478632478631E-2</c:v>
                </c:pt>
                <c:pt idx="53">
                  <c:v>0.10714285714285714</c:v>
                </c:pt>
                <c:pt idx="57">
                  <c:v>5.9558396281231843E-2</c:v>
                </c:pt>
                <c:pt idx="59">
                  <c:v>8.775239147544954E-2</c:v>
                </c:pt>
              </c:numCache>
            </c:numRef>
          </c:xVal>
          <c:yVal>
            <c:numRef>
              <c:f>'2021-2022'!$Y$4:$Y$63</c:f>
              <c:numCache>
                <c:formatCode>0.00%</c:formatCode>
                <c:ptCount val="60"/>
                <c:pt idx="0">
                  <c:v>-0.90139999999999998</c:v>
                </c:pt>
                <c:pt idx="6">
                  <c:v>5.4600000000000003E-2</c:v>
                </c:pt>
                <c:pt idx="7">
                  <c:v>0.1421</c:v>
                </c:pt>
                <c:pt idx="8">
                  <c:v>0.22370000000000001</c:v>
                </c:pt>
                <c:pt idx="9">
                  <c:v>0.2208</c:v>
                </c:pt>
                <c:pt idx="11">
                  <c:v>0.31030000000000002</c:v>
                </c:pt>
                <c:pt idx="12">
                  <c:v>0.11219999999999999</c:v>
                </c:pt>
                <c:pt idx="13">
                  <c:v>0.22509999999999999</c:v>
                </c:pt>
                <c:pt idx="14">
                  <c:v>0.17130000000000001</c:v>
                </c:pt>
                <c:pt idx="15">
                  <c:v>0.1454</c:v>
                </c:pt>
                <c:pt idx="16">
                  <c:v>0.16550000000000001</c:v>
                </c:pt>
                <c:pt idx="17">
                  <c:v>0.16750000000000001</c:v>
                </c:pt>
                <c:pt idx="18">
                  <c:v>0.24399999999999999</c:v>
                </c:pt>
                <c:pt idx="19">
                  <c:v>0.1613</c:v>
                </c:pt>
                <c:pt idx="20">
                  <c:v>0.23400000000000001</c:v>
                </c:pt>
                <c:pt idx="21">
                  <c:v>0.159</c:v>
                </c:pt>
                <c:pt idx="22">
                  <c:v>4.9500000000000002E-2</c:v>
                </c:pt>
                <c:pt idx="29">
                  <c:v>0.26200000000000001</c:v>
                </c:pt>
                <c:pt idx="31">
                  <c:v>0.19700000000000001</c:v>
                </c:pt>
                <c:pt idx="32">
                  <c:v>0.1953</c:v>
                </c:pt>
                <c:pt idx="33">
                  <c:v>0.15079999999999999</c:v>
                </c:pt>
                <c:pt idx="34">
                  <c:v>0.48399999999999999</c:v>
                </c:pt>
                <c:pt idx="35">
                  <c:v>0.23760000000000001</c:v>
                </c:pt>
                <c:pt idx="36">
                  <c:v>0.18379999999999999</c:v>
                </c:pt>
                <c:pt idx="37">
                  <c:v>0.16769999999999999</c:v>
                </c:pt>
                <c:pt idx="38">
                  <c:v>0.1734</c:v>
                </c:pt>
                <c:pt idx="40">
                  <c:v>0</c:v>
                </c:pt>
                <c:pt idx="41">
                  <c:v>0.10580000000000001</c:v>
                </c:pt>
                <c:pt idx="42">
                  <c:v>0.13539999999999999</c:v>
                </c:pt>
                <c:pt idx="43">
                  <c:v>-3.8800000000000001E-2</c:v>
                </c:pt>
                <c:pt idx="44">
                  <c:v>0.1118</c:v>
                </c:pt>
                <c:pt idx="45">
                  <c:v>0.16170000000000001</c:v>
                </c:pt>
                <c:pt idx="46">
                  <c:v>9.8599999999999993E-2</c:v>
                </c:pt>
                <c:pt idx="48">
                  <c:v>0.27950000000000003</c:v>
                </c:pt>
                <c:pt idx="50">
                  <c:v>0.1457</c:v>
                </c:pt>
                <c:pt idx="52">
                  <c:v>0.31359999999999999</c:v>
                </c:pt>
                <c:pt idx="53">
                  <c:v>0.14369999999999999</c:v>
                </c:pt>
                <c:pt idx="57">
                  <c:v>0.29620000000000002</c:v>
                </c:pt>
                <c:pt idx="59">
                  <c:v>0.15379999999999999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E3C-214B-831D-1552004D64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8556976"/>
        <c:axId val="440795824"/>
      </c:scatterChart>
      <c:valAx>
        <c:axId val="538556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0">
                    <a:solidFill>
                      <a:schemeClr val="tx1"/>
                    </a:solidFill>
                  </a:rPr>
                  <a:t>Percentag</a:t>
                </a:r>
                <a:r>
                  <a:rPr lang="en-US" sz="1800" b="0" baseline="0">
                    <a:solidFill>
                      <a:schemeClr val="tx1"/>
                    </a:solidFill>
                  </a:rPr>
                  <a:t>e of Students in FI 2011/12</a:t>
                </a:r>
                <a:endParaRPr lang="en-US" sz="1800" b="0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795824"/>
        <c:crosses val="autoZero"/>
        <c:crossBetween val="midCat"/>
      </c:valAx>
      <c:valAx>
        <c:axId val="440795824"/>
        <c:scaling>
          <c:orientation val="minMax"/>
          <c:min val="-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0">
                    <a:solidFill>
                      <a:schemeClr val="tx1"/>
                    </a:solidFill>
                  </a:rPr>
                  <a:t>Average</a:t>
                </a:r>
                <a:r>
                  <a:rPr lang="en-US" sz="1800" b="0" baseline="0">
                    <a:solidFill>
                      <a:schemeClr val="tx1"/>
                    </a:solidFill>
                  </a:rPr>
                  <a:t> Grade 1-5 Percentage Attrition of the Past 5 Cohorts</a:t>
                </a:r>
                <a:endParaRPr lang="en-US" sz="1800" b="0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8556976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2000" b="1">
                <a:solidFill>
                  <a:schemeClr val="tx1"/>
                </a:solidFill>
              </a:rPr>
              <a:t>Figure</a:t>
            </a:r>
            <a:r>
              <a:rPr lang="en-US" sz="2000" b="1" baseline="0">
                <a:solidFill>
                  <a:schemeClr val="tx1"/>
                </a:solidFill>
              </a:rPr>
              <a:t> 3. Percentage Change in FI Enrolment vs Percentage Change in Total Enrolment (2011/12 - 2021/22, 11 years). Outliers Removed</a:t>
            </a:r>
            <a:endParaRPr lang="en-US" sz="20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% Change FI Enrolment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'2021-2022'!$P$4:$P$63</c:f>
              <c:numCache>
                <c:formatCode>0.00%</c:formatCode>
                <c:ptCount val="60"/>
                <c:pt idx="0">
                  <c:v>7.4302213666987485E-2</c:v>
                </c:pt>
                <c:pt idx="1">
                  <c:v>0</c:v>
                </c:pt>
                <c:pt idx="2">
                  <c:v>-3.8635873084394562E-2</c:v>
                </c:pt>
                <c:pt idx="5">
                  <c:v>7.9079608569161602E-2</c:v>
                </c:pt>
                <c:pt idx="6">
                  <c:v>4.7769924445527662E-2</c:v>
                </c:pt>
                <c:pt idx="7">
                  <c:v>0.11478893191047314</c:v>
                </c:pt>
                <c:pt idx="8">
                  <c:v>-8.6850152905198777E-2</c:v>
                </c:pt>
                <c:pt idx="9">
                  <c:v>-0.11663597298956414</c:v>
                </c:pt>
                <c:pt idx="10">
                  <c:v>0.17846258042668472</c:v>
                </c:pt>
                <c:pt idx="11">
                  <c:v>2.7022636196252572E-2</c:v>
                </c:pt>
                <c:pt idx="12">
                  <c:v>0.20322528450461141</c:v>
                </c:pt>
                <c:pt idx="13">
                  <c:v>0.10117664806154775</c:v>
                </c:pt>
                <c:pt idx="14">
                  <c:v>7.9425113464447802E-3</c:v>
                </c:pt>
                <c:pt idx="15">
                  <c:v>0</c:v>
                </c:pt>
                <c:pt idx="16">
                  <c:v>-8.3444212126972062E-2</c:v>
                </c:pt>
                <c:pt idx="17">
                  <c:v>0.1287995878413189</c:v>
                </c:pt>
                <c:pt idx="18">
                  <c:v>1.9893398245687664E-2</c:v>
                </c:pt>
                <c:pt idx="19">
                  <c:v>6.9167889331377075E-2</c:v>
                </c:pt>
                <c:pt idx="20">
                  <c:v>1.3217162584251192E-2</c:v>
                </c:pt>
                <c:pt idx="21">
                  <c:v>1.8414783336552699E-2</c:v>
                </c:pt>
                <c:pt idx="22">
                  <c:v>-5.2755796196029435E-3</c:v>
                </c:pt>
                <c:pt idx="24">
                  <c:v>0.51768172888015718</c:v>
                </c:pt>
                <c:pt idx="25">
                  <c:v>0.26484018264840181</c:v>
                </c:pt>
                <c:pt idx="27">
                  <c:v>0</c:v>
                </c:pt>
                <c:pt idx="29">
                  <c:v>-0.17236533957845435</c:v>
                </c:pt>
                <c:pt idx="30">
                  <c:v>-1.3089005235602094E-2</c:v>
                </c:pt>
                <c:pt idx="31">
                  <c:v>-0.16335740072202165</c:v>
                </c:pt>
                <c:pt idx="32">
                  <c:v>-1.0526315789473684E-2</c:v>
                </c:pt>
                <c:pt idx="33">
                  <c:v>-0.10943396226415095</c:v>
                </c:pt>
                <c:pt idx="34">
                  <c:v>-5.8653340347185695E-2</c:v>
                </c:pt>
                <c:pt idx="35">
                  <c:v>9.3105370748931424E-2</c:v>
                </c:pt>
                <c:pt idx="36">
                  <c:v>4.5932310279587975E-2</c:v>
                </c:pt>
                <c:pt idx="37">
                  <c:v>0.38346931536005674</c:v>
                </c:pt>
                <c:pt idx="38">
                  <c:v>-1.1845568879789412E-2</c:v>
                </c:pt>
                <c:pt idx="39">
                  <c:v>-1</c:v>
                </c:pt>
                <c:pt idx="40">
                  <c:v>-6.5743367261805435E-2</c:v>
                </c:pt>
                <c:pt idx="41">
                  <c:v>7.5150972936703198E-2</c:v>
                </c:pt>
                <c:pt idx="42">
                  <c:v>8.0724070450097843E-3</c:v>
                </c:pt>
                <c:pt idx="43">
                  <c:v>-2.5278608317477577E-2</c:v>
                </c:pt>
                <c:pt idx="44">
                  <c:v>5.4075337970862315E-2</c:v>
                </c:pt>
                <c:pt idx="45">
                  <c:v>3.98422090729783E-2</c:v>
                </c:pt>
                <c:pt idx="46">
                  <c:v>9.2331423534596738E-2</c:v>
                </c:pt>
                <c:pt idx="48">
                  <c:v>0</c:v>
                </c:pt>
                <c:pt idx="50">
                  <c:v>1.2369540007730962E-2</c:v>
                </c:pt>
                <c:pt idx="52">
                  <c:v>-0.1561965811965812</c:v>
                </c:pt>
                <c:pt idx="53">
                  <c:v>6.4935064935064929E-2</c:v>
                </c:pt>
                <c:pt idx="57">
                  <c:v>-0.15775711795467751</c:v>
                </c:pt>
                <c:pt idx="59">
                  <c:v>3.8046028334443302E-2</c:v>
                </c:pt>
              </c:numCache>
            </c:numRef>
          </c:xVal>
          <c:yVal>
            <c:numRef>
              <c:f>'2021-2022'!$I$4:$I$63</c:f>
              <c:numCache>
                <c:formatCode>0.00%</c:formatCode>
                <c:ptCount val="60"/>
                <c:pt idx="0">
                  <c:v>0.5642317380352645</c:v>
                </c:pt>
                <c:pt idx="1">
                  <c:v>-0.13551401869158877</c:v>
                </c:pt>
                <c:pt idx="2">
                  <c:v>8.9285714285714288E-2</c:v>
                </c:pt>
                <c:pt idx="5">
                  <c:v>1.1162790697674418</c:v>
                </c:pt>
                <c:pt idx="6">
                  <c:v>0.12055335968379446</c:v>
                </c:pt>
                <c:pt idx="7">
                  <c:v>0.34315169366715759</c:v>
                </c:pt>
                <c:pt idx="8">
                  <c:v>0.20645161290322581</c:v>
                </c:pt>
                <c:pt idx="9">
                  <c:v>6.1452513966480445E-2</c:v>
                </c:pt>
                <c:pt idx="10">
                  <c:v>0.60659340659340655</c:v>
                </c:pt>
                <c:pt idx="11">
                  <c:v>-2.9118136439267885E-2</c:v>
                </c:pt>
                <c:pt idx="12">
                  <c:v>1.3778100072516316E-2</c:v>
                </c:pt>
                <c:pt idx="13">
                  <c:v>-1.9280205655526992E-2</c:v>
                </c:pt>
                <c:pt idx="14">
                  <c:v>-4.0020263424518747E-2</c:v>
                </c:pt>
                <c:pt idx="15">
                  <c:v>6.132497761862131E-2</c:v>
                </c:pt>
                <c:pt idx="16">
                  <c:v>1.5037593984962405E-2</c:v>
                </c:pt>
                <c:pt idx="17">
                  <c:v>4.6587215601300108E-2</c:v>
                </c:pt>
                <c:pt idx="18">
                  <c:v>0.10370741482965933</c:v>
                </c:pt>
                <c:pt idx="19">
                  <c:v>0.13636363636363635</c:v>
                </c:pt>
                <c:pt idx="20">
                  <c:v>0.26261959749257668</c:v>
                </c:pt>
                <c:pt idx="21">
                  <c:v>0.12296110414052698</c:v>
                </c:pt>
                <c:pt idx="22">
                  <c:v>0.14317673378076062</c:v>
                </c:pt>
                <c:pt idx="24">
                  <c:v>0</c:v>
                </c:pt>
                <c:pt idx="25">
                  <c:v>1.8620689655172413</c:v>
                </c:pt>
                <c:pt idx="27">
                  <c:v>-1</c:v>
                </c:pt>
                <c:pt idx="29">
                  <c:v>0.26543209876543211</c:v>
                </c:pt>
                <c:pt idx="31">
                  <c:v>4.878048780487805E-2</c:v>
                </c:pt>
                <c:pt idx="32">
                  <c:v>0.42335766423357662</c:v>
                </c:pt>
                <c:pt idx="33">
                  <c:v>0.19526627218934911</c:v>
                </c:pt>
                <c:pt idx="34">
                  <c:v>-0.29921259842519687</c:v>
                </c:pt>
                <c:pt idx="35">
                  <c:v>0.10029498525073746</c:v>
                </c:pt>
                <c:pt idx="36">
                  <c:v>0.18300060496067755</c:v>
                </c:pt>
                <c:pt idx="37">
                  <c:v>0.69272529858849075</c:v>
                </c:pt>
                <c:pt idx="38">
                  <c:v>6.2637362637362637E-2</c:v>
                </c:pt>
                <c:pt idx="39">
                  <c:v>-0.25</c:v>
                </c:pt>
                <c:pt idx="40">
                  <c:v>-5.4652880354505169E-2</c:v>
                </c:pt>
                <c:pt idx="41">
                  <c:v>0.2972549019607843</c:v>
                </c:pt>
                <c:pt idx="42">
                  <c:v>0.23848238482384823</c:v>
                </c:pt>
                <c:pt idx="43">
                  <c:v>1.1049723756906077E-2</c:v>
                </c:pt>
                <c:pt idx="44">
                  <c:v>0.15613382899628253</c:v>
                </c:pt>
                <c:pt idx="45">
                  <c:v>3.7943696450428395E-2</c:v>
                </c:pt>
                <c:pt idx="46">
                  <c:v>0.16193181818181818</c:v>
                </c:pt>
                <c:pt idx="48">
                  <c:v>0.1297071129707113</c:v>
                </c:pt>
                <c:pt idx="50">
                  <c:v>0.25184275184275184</c:v>
                </c:pt>
                <c:pt idx="52">
                  <c:v>0.24728260869565216</c:v>
                </c:pt>
                <c:pt idx="53">
                  <c:v>0.11515151515151516</c:v>
                </c:pt>
                <c:pt idx="57">
                  <c:v>-0.38048780487804879</c:v>
                </c:pt>
                <c:pt idx="59">
                  <c:v>0.14971647873051466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8E4-C24A-8153-26504D4897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7849856"/>
        <c:axId val="515639968"/>
      </c:scatterChart>
      <c:valAx>
        <c:axId val="537849856"/>
        <c:scaling>
          <c:orientation val="minMax"/>
          <c:max val="0.15000000000000002"/>
          <c:min val="-0.3000000000000000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="1">
                    <a:solidFill>
                      <a:schemeClr val="tx1"/>
                    </a:solidFill>
                  </a:rPr>
                  <a:t>Percentage</a:t>
                </a:r>
                <a:r>
                  <a:rPr lang="en-US" sz="2000" b="1" baseline="0">
                    <a:solidFill>
                      <a:schemeClr val="tx1"/>
                    </a:solidFill>
                  </a:rPr>
                  <a:t> Change in Total Enrolment Compared to Ten Years Ago</a:t>
                </a:r>
                <a:endParaRPr lang="en-US" sz="2000" b="1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5639968"/>
        <c:crosses val="autoZero"/>
        <c:crossBetween val="midCat"/>
        <c:majorUnit val="5.000000000000001E-2"/>
      </c:valAx>
      <c:valAx>
        <c:axId val="515639968"/>
        <c:scaling>
          <c:orientation val="minMax"/>
          <c:max val="0.8"/>
          <c:min val="-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="1">
                    <a:solidFill>
                      <a:schemeClr val="tx1"/>
                    </a:solidFill>
                  </a:rPr>
                  <a:t>Percentage</a:t>
                </a:r>
                <a:r>
                  <a:rPr lang="en-US" sz="2000" b="1" baseline="0">
                    <a:solidFill>
                      <a:schemeClr val="tx1"/>
                    </a:solidFill>
                  </a:rPr>
                  <a:t> Change in FI Enrolment Compared to Ten Years Ago</a:t>
                </a:r>
                <a:endParaRPr lang="en-US" sz="2000" b="1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low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8498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2000" b="1">
                <a:solidFill>
                  <a:schemeClr val="tx1"/>
                </a:solidFill>
              </a:rPr>
              <a:t>Figure 2. Percentage Change in FI Enrolment vs</a:t>
            </a:r>
            <a:r>
              <a:rPr lang="en-US" sz="2000" b="1" baseline="0">
                <a:solidFill>
                  <a:schemeClr val="tx1"/>
                </a:solidFill>
              </a:rPr>
              <a:t> Percentage Change in Total Enrolment (2016/17 - 2021/22, 6 years). Outliers removed</a:t>
            </a:r>
            <a:endParaRPr lang="en-US" sz="20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% Change FI Enrolment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'2021-2022'!$N$4:$N$63</c:f>
              <c:numCache>
                <c:formatCode>0.00%</c:formatCode>
                <c:ptCount val="60"/>
                <c:pt idx="0">
                  <c:v>1.9546949214468395E-2</c:v>
                </c:pt>
                <c:pt idx="1">
                  <c:v>5.8479532163742687E-2</c:v>
                </c:pt>
                <c:pt idx="2">
                  <c:v>-0.10020202020202021</c:v>
                </c:pt>
                <c:pt idx="5">
                  <c:v>8.1081081081081086E-2</c:v>
                </c:pt>
                <c:pt idx="6">
                  <c:v>1.2840146071386499E-2</c:v>
                </c:pt>
                <c:pt idx="7">
                  <c:v>6.8667390910736925E-2</c:v>
                </c:pt>
                <c:pt idx="8">
                  <c:v>-3.4698275862068965E-2</c:v>
                </c:pt>
                <c:pt idx="9">
                  <c:v>-6.0091443500979752E-2</c:v>
                </c:pt>
                <c:pt idx="10">
                  <c:v>3.3868092691622102E-2</c:v>
                </c:pt>
                <c:pt idx="11">
                  <c:v>-2.7435897435897437E-2</c:v>
                </c:pt>
                <c:pt idx="12">
                  <c:v>3.349393125173724E-2</c:v>
                </c:pt>
                <c:pt idx="13">
                  <c:v>1.6133522648180628E-2</c:v>
                </c:pt>
                <c:pt idx="14">
                  <c:v>-2.5831607164615571E-2</c:v>
                </c:pt>
                <c:pt idx="15">
                  <c:v>-1.7318301751019428E-2</c:v>
                </c:pt>
                <c:pt idx="16">
                  <c:v>-7.7076195762436114E-2</c:v>
                </c:pt>
                <c:pt idx="17">
                  <c:v>-0.13898349489127587</c:v>
                </c:pt>
                <c:pt idx="18">
                  <c:v>-3.2603503184713375E-2</c:v>
                </c:pt>
                <c:pt idx="19">
                  <c:v>1.7757382282521949E-2</c:v>
                </c:pt>
                <c:pt idx="20">
                  <c:v>-6.7084430720794355E-2</c:v>
                </c:pt>
                <c:pt idx="21">
                  <c:v>-1.2486732846350752E-2</c:v>
                </c:pt>
                <c:pt idx="22">
                  <c:v>-1.7551076374605786E-2</c:v>
                </c:pt>
                <c:pt idx="24">
                  <c:v>0.47423664122137404</c:v>
                </c:pt>
                <c:pt idx="25">
                  <c:v>6.9932913193738566E-2</c:v>
                </c:pt>
                <c:pt idx="27">
                  <c:v>-1</c:v>
                </c:pt>
                <c:pt idx="29">
                  <c:v>-0.11339688911189162</c:v>
                </c:pt>
                <c:pt idx="30">
                  <c:v>-3.2920051303976058E-2</c:v>
                </c:pt>
                <c:pt idx="31">
                  <c:v>-7.8070611636001985E-2</c:v>
                </c:pt>
                <c:pt idx="32">
                  <c:v>-3.5897435897435895E-2</c:v>
                </c:pt>
                <c:pt idx="33">
                  <c:v>-0.19796091758708581</c:v>
                </c:pt>
                <c:pt idx="34">
                  <c:v>3.980244044160372E-2</c:v>
                </c:pt>
                <c:pt idx="35">
                  <c:v>-4.8220064724919097E-2</c:v>
                </c:pt>
                <c:pt idx="36">
                  <c:v>-4.9995000499950008E-3</c:v>
                </c:pt>
                <c:pt idx="37">
                  <c:v>7.0056703859520758E-2</c:v>
                </c:pt>
                <c:pt idx="38">
                  <c:v>-0.17142857142857143</c:v>
                </c:pt>
                <c:pt idx="39">
                  <c:v>-1</c:v>
                </c:pt>
                <c:pt idx="40">
                  <c:v>-3.5984848484848488E-2</c:v>
                </c:pt>
                <c:pt idx="41">
                  <c:v>3.7705979707850612E-2</c:v>
                </c:pt>
                <c:pt idx="42">
                  <c:v>-3.8273045507584598E-2</c:v>
                </c:pt>
                <c:pt idx="43">
                  <c:v>-7.1225071225071226E-2</c:v>
                </c:pt>
                <c:pt idx="44">
                  <c:v>-3.2642736689954231E-2</c:v>
                </c:pt>
                <c:pt idx="45">
                  <c:v>-9.7670924117205116E-3</c:v>
                </c:pt>
                <c:pt idx="46">
                  <c:v>3.1991672449687716E-2</c:v>
                </c:pt>
                <c:pt idx="48">
                  <c:v>3.1455862977602111E-2</c:v>
                </c:pt>
                <c:pt idx="50">
                  <c:v>4.0894568690095848E-3</c:v>
                </c:pt>
                <c:pt idx="52">
                  <c:v>-6.5988647114474927E-2</c:v>
                </c:pt>
                <c:pt idx="53">
                  <c:v>9.4610378775237772E-2</c:v>
                </c:pt>
                <c:pt idx="57">
                  <c:v>-0.34824640287769787</c:v>
                </c:pt>
                <c:pt idx="59">
                  <c:v>-1.6098488244893568E-2</c:v>
                </c:pt>
              </c:numCache>
            </c:numRef>
          </c:xVal>
          <c:yVal>
            <c:numRef>
              <c:f>'2021-2022'!$G$4:$G$63</c:f>
              <c:numCache>
                <c:formatCode>0.00%</c:formatCode>
                <c:ptCount val="60"/>
                <c:pt idx="0">
                  <c:v>0.20116054158607349</c:v>
                </c:pt>
                <c:pt idx="1">
                  <c:v>0.28472222222222221</c:v>
                </c:pt>
                <c:pt idx="2">
                  <c:v>0.15094339622641509</c:v>
                </c:pt>
                <c:pt idx="5">
                  <c:v>0.36842105263157893</c:v>
                </c:pt>
                <c:pt idx="6">
                  <c:v>-8.7412587412587419E-3</c:v>
                </c:pt>
                <c:pt idx="7">
                  <c:v>0.16326530612244897</c:v>
                </c:pt>
                <c:pt idx="8">
                  <c:v>1.6304347826086956E-2</c:v>
                </c:pt>
                <c:pt idx="9">
                  <c:v>-8.6538461538461536E-2</c:v>
                </c:pt>
                <c:pt idx="10">
                  <c:v>0.18668831168831168</c:v>
                </c:pt>
                <c:pt idx="11">
                  <c:v>-0.1291044776119403</c:v>
                </c:pt>
                <c:pt idx="12">
                  <c:v>-9.3385214007782102E-2</c:v>
                </c:pt>
                <c:pt idx="13">
                  <c:v>-9.2207019631171921E-2</c:v>
                </c:pt>
                <c:pt idx="14">
                  <c:v>-6.8338249754178959E-2</c:v>
                </c:pt>
                <c:pt idx="15">
                  <c:v>5.47153024911032E-2</c:v>
                </c:pt>
                <c:pt idx="16">
                  <c:v>-9.2267463578632802E-2</c:v>
                </c:pt>
                <c:pt idx="17">
                  <c:v>-2.7190332326283987E-2</c:v>
                </c:pt>
                <c:pt idx="18">
                  <c:v>-3.0369718309859156E-2</c:v>
                </c:pt>
                <c:pt idx="19">
                  <c:v>5.1625239005736137E-2</c:v>
                </c:pt>
                <c:pt idx="20">
                  <c:v>-3.3585858585858587E-2</c:v>
                </c:pt>
                <c:pt idx="21">
                  <c:v>6.1684460260972719E-2</c:v>
                </c:pt>
                <c:pt idx="22">
                  <c:v>-6.8027210884353739E-3</c:v>
                </c:pt>
                <c:pt idx="24">
                  <c:v>0.6028368794326241</c:v>
                </c:pt>
                <c:pt idx="25">
                  <c:v>0.16396979503775622</c:v>
                </c:pt>
                <c:pt idx="27">
                  <c:v>-1</c:v>
                </c:pt>
                <c:pt idx="29">
                  <c:v>-2.843601895734597E-2</c:v>
                </c:pt>
                <c:pt idx="31">
                  <c:v>-0.1134020618556701</c:v>
                </c:pt>
                <c:pt idx="32">
                  <c:v>9.4480823199251635E-2</c:v>
                </c:pt>
                <c:pt idx="33">
                  <c:v>-4.9261083743842365E-3</c:v>
                </c:pt>
                <c:pt idx="34">
                  <c:v>-0.27642276422764228</c:v>
                </c:pt>
                <c:pt idx="35">
                  <c:v>-2.6109660574412531E-2</c:v>
                </c:pt>
                <c:pt idx="36">
                  <c:v>2.7318098240084056E-2</c:v>
                </c:pt>
                <c:pt idx="37">
                  <c:v>0.21987480438184664</c:v>
                </c:pt>
                <c:pt idx="38">
                  <c:v>7.9241071428571425E-2</c:v>
                </c:pt>
                <c:pt idx="39">
                  <c:v>-1.3986013986013986E-2</c:v>
                </c:pt>
                <c:pt idx="40">
                  <c:v>-5.8823529411764705E-2</c:v>
                </c:pt>
                <c:pt idx="41">
                  <c:v>4.8162230671736375E-2</c:v>
                </c:pt>
                <c:pt idx="42">
                  <c:v>0.19633507853403143</c:v>
                </c:pt>
                <c:pt idx="43">
                  <c:v>5.4755043227665709E-2</c:v>
                </c:pt>
                <c:pt idx="44">
                  <c:v>2.7250206440957887E-2</c:v>
                </c:pt>
                <c:pt idx="45">
                  <c:v>2.7878787878787878E-2</c:v>
                </c:pt>
                <c:pt idx="46">
                  <c:v>1.2376237623762377E-2</c:v>
                </c:pt>
                <c:pt idx="48">
                  <c:v>8.8709677419354843E-2</c:v>
                </c:pt>
                <c:pt idx="50">
                  <c:v>-2.9523809523809525E-2</c:v>
                </c:pt>
                <c:pt idx="52">
                  <c:v>6.25E-2</c:v>
                </c:pt>
                <c:pt idx="53">
                  <c:v>-2.2576361221779549E-2</c:v>
                </c:pt>
                <c:pt idx="57">
                  <c:v>-0.42272727272727273</c:v>
                </c:pt>
                <c:pt idx="59">
                  <c:v>1.4844419069369112E-2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A0C-5A4E-8D28-B33A73A2B7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01152"/>
        <c:axId val="540668832"/>
      </c:scatterChart>
      <c:valAx>
        <c:axId val="12601152"/>
        <c:scaling>
          <c:orientation val="minMax"/>
          <c:max val="0.15000000000000002"/>
          <c:min val="-0.1500000000000000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="1">
                    <a:solidFill>
                      <a:schemeClr val="tx1"/>
                    </a:solidFill>
                  </a:rPr>
                  <a:t>Percentage</a:t>
                </a:r>
                <a:r>
                  <a:rPr lang="en-US" sz="2000" b="1" baseline="0">
                    <a:solidFill>
                      <a:schemeClr val="tx1"/>
                    </a:solidFill>
                  </a:rPr>
                  <a:t> Change in Total Enrolment Compared to Five Years Ago</a:t>
                </a:r>
                <a:endParaRPr lang="en-US" sz="2000" b="1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0668832"/>
        <c:crosses val="autoZero"/>
        <c:crossBetween val="midCat"/>
      </c:valAx>
      <c:valAx>
        <c:axId val="540668832"/>
        <c:scaling>
          <c:orientation val="minMax"/>
          <c:max val="0.35000000000000003"/>
          <c:min val="-0.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="1">
                    <a:solidFill>
                      <a:schemeClr val="tx1"/>
                    </a:solidFill>
                  </a:rPr>
                  <a:t>Percentage</a:t>
                </a:r>
                <a:r>
                  <a:rPr lang="en-US" sz="2000" b="1" baseline="0">
                    <a:solidFill>
                      <a:schemeClr val="tx1"/>
                    </a:solidFill>
                  </a:rPr>
                  <a:t> Change in FI Enrolment Compared to Five Years Ago</a:t>
                </a:r>
                <a:endParaRPr lang="en-US" sz="2000" b="1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low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011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2000" b="1">
                <a:solidFill>
                  <a:schemeClr val="tx1"/>
                </a:solidFill>
              </a:rPr>
              <a:t>Figure</a:t>
            </a:r>
            <a:r>
              <a:rPr lang="en-US" sz="2000" b="1" baseline="0">
                <a:solidFill>
                  <a:schemeClr val="tx1"/>
                </a:solidFill>
              </a:rPr>
              <a:t> 3. Change in Proportion of Students in FI vs Percentage change in Total Enrolment fo BC SDs (2008/09 - 2018/19, 11 years). Outliers removed</a:t>
            </a:r>
            <a:endParaRPr lang="en-US" sz="20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% Change of Students in FI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'2018-2019'!$P$4:$P$63</c:f>
              <c:numCache>
                <c:formatCode>0.00%</c:formatCode>
                <c:ptCount val="60"/>
                <c:pt idx="0">
                  <c:v>-1.8122988515664771E-2</c:v>
                </c:pt>
                <c:pt idx="1">
                  <c:v>1.2628540501533466E-2</c:v>
                </c:pt>
                <c:pt idx="2">
                  <c:v>1.9648704971717772E-2</c:v>
                </c:pt>
                <c:pt idx="3">
                  <c:v>-7.7138065958636107E-2</c:v>
                </c:pt>
                <c:pt idx="6">
                  <c:v>-7.8756718859546618E-2</c:v>
                </c:pt>
                <c:pt idx="7">
                  <c:v>-4.3439814303083898E-2</c:v>
                </c:pt>
                <c:pt idx="8">
                  <c:v>4.5912499424943645E-2</c:v>
                </c:pt>
                <c:pt idx="9">
                  <c:v>-0.24558613010975028</c:v>
                </c:pt>
                <c:pt idx="10">
                  <c:v>-0.25702106318956869</c:v>
                </c:pt>
                <c:pt idx="11">
                  <c:v>-3.9364338824901587E-3</c:v>
                </c:pt>
                <c:pt idx="12">
                  <c:v>1.216333622936577E-2</c:v>
                </c:pt>
                <c:pt idx="13">
                  <c:v>0.1223756766327718</c:v>
                </c:pt>
                <c:pt idx="14">
                  <c:v>8.7516429636849649E-2</c:v>
                </c:pt>
                <c:pt idx="15">
                  <c:v>1.8157608037767825E-4</c:v>
                </c:pt>
                <c:pt idx="16">
                  <c:v>-8.968512486427796E-2</c:v>
                </c:pt>
                <c:pt idx="17">
                  <c:v>-0.124685287507815</c:v>
                </c:pt>
                <c:pt idx="18">
                  <c:v>3.5781544256120526E-2</c:v>
                </c:pt>
                <c:pt idx="19">
                  <c:v>-1.4089427107591989E-2</c:v>
                </c:pt>
                <c:pt idx="20">
                  <c:v>-3.9726473461413224E-3</c:v>
                </c:pt>
                <c:pt idx="21">
                  <c:v>4.8074804017252781E-2</c:v>
                </c:pt>
                <c:pt idx="22">
                  <c:v>-5.6924986699769461E-2</c:v>
                </c:pt>
                <c:pt idx="23">
                  <c:v>6.4150943396226415E-2</c:v>
                </c:pt>
                <c:pt idx="25">
                  <c:v>0</c:v>
                </c:pt>
                <c:pt idx="26">
                  <c:v>0.21876484560570073</c:v>
                </c:pt>
                <c:pt idx="28">
                  <c:v>-0.36193029490616624</c:v>
                </c:pt>
                <c:pt idx="30">
                  <c:v>-0.23230348064137663</c:v>
                </c:pt>
                <c:pt idx="31">
                  <c:v>-0.16163718348942074</c:v>
                </c:pt>
                <c:pt idx="32">
                  <c:v>-0.21516966067864271</c:v>
                </c:pt>
                <c:pt idx="33">
                  <c:v>-0.11245409015025042</c:v>
                </c:pt>
                <c:pt idx="34">
                  <c:v>-0.14202263599853962</c:v>
                </c:pt>
                <c:pt idx="35">
                  <c:v>-0.16511411271541687</c:v>
                </c:pt>
                <c:pt idx="36">
                  <c:v>6.4194245800765007E-2</c:v>
                </c:pt>
                <c:pt idx="37">
                  <c:v>-8.1332489163785122E-3</c:v>
                </c:pt>
                <c:pt idx="38">
                  <c:v>0.25388147824185436</c:v>
                </c:pt>
                <c:pt idx="39">
                  <c:v>-5.6867891513560802E-2</c:v>
                </c:pt>
                <c:pt idx="40">
                  <c:v>8.9696969696969692E-2</c:v>
                </c:pt>
                <c:pt idx="41">
                  <c:v>1.2629757785467127E-2</c:v>
                </c:pt>
                <c:pt idx="42">
                  <c:v>-1.5235270324929216E-2</c:v>
                </c:pt>
                <c:pt idx="43">
                  <c:v>-0.1102971102971103</c:v>
                </c:pt>
                <c:pt idx="44">
                  <c:v>-0.10455702058755494</c:v>
                </c:pt>
                <c:pt idx="45">
                  <c:v>1.457436237164624E-2</c:v>
                </c:pt>
                <c:pt idx="46">
                  <c:v>-5.2870354213924269E-2</c:v>
                </c:pt>
                <c:pt idx="47">
                  <c:v>4.747258625300883E-3</c:v>
                </c:pt>
                <c:pt idx="49">
                  <c:v>-6.5307944064266585E-2</c:v>
                </c:pt>
                <c:pt idx="51">
                  <c:v>-6.0165739584515834E-2</c:v>
                </c:pt>
                <c:pt idx="53">
                  <c:v>-0.22021985943413228</c:v>
                </c:pt>
                <c:pt idx="54">
                  <c:v>-0.12626894729523014</c:v>
                </c:pt>
                <c:pt idx="58">
                  <c:v>-0.16015552675430475</c:v>
                </c:pt>
              </c:numCache>
            </c:numRef>
          </c:xVal>
          <c:yVal>
            <c:numRef>
              <c:f>'2018-2019'!$W$4:$W$63</c:f>
              <c:numCache>
                <c:formatCode>0.00%</c:formatCode>
                <c:ptCount val="60"/>
                <c:pt idx="0">
                  <c:v>2.1601270713209955E-2</c:v>
                </c:pt>
                <c:pt idx="1">
                  <c:v>4.0006191652139714E-2</c:v>
                </c:pt>
                <c:pt idx="2">
                  <c:v>-1.8190676317899612E-2</c:v>
                </c:pt>
                <c:pt idx="3">
                  <c:v>2.8851415716906054E-3</c:v>
                </c:pt>
                <c:pt idx="6">
                  <c:v>3.7916641026124416E-2</c:v>
                </c:pt>
                <c:pt idx="7">
                  <c:v>3.6480701441300972E-2</c:v>
                </c:pt>
                <c:pt idx="8">
                  <c:v>3.300248904929301E-2</c:v>
                </c:pt>
                <c:pt idx="9">
                  <c:v>3.2526112921519357E-2</c:v>
                </c:pt>
                <c:pt idx="10">
                  <c:v>0</c:v>
                </c:pt>
                <c:pt idx="11">
                  <c:v>1.4188075941181232E-2</c:v>
                </c:pt>
                <c:pt idx="12">
                  <c:v>7.6022277150084722E-3</c:v>
                </c:pt>
                <c:pt idx="13">
                  <c:v>-6.6578237202615381E-3</c:v>
                </c:pt>
                <c:pt idx="14">
                  <c:v>2.7815310000568888E-3</c:v>
                </c:pt>
                <c:pt idx="15">
                  <c:v>1.3656392860681238E-2</c:v>
                </c:pt>
                <c:pt idx="16">
                  <c:v>9.3972490903515143E-3</c:v>
                </c:pt>
                <c:pt idx="17">
                  <c:v>2.5517734276847934E-2</c:v>
                </c:pt>
                <c:pt idx="18">
                  <c:v>2.0591141438599067E-2</c:v>
                </c:pt>
                <c:pt idx="19">
                  <c:v>1.4662645355732057E-2</c:v>
                </c:pt>
                <c:pt idx="20">
                  <c:v>7.8471680451195208E-3</c:v>
                </c:pt>
                <c:pt idx="21">
                  <c:v>3.756601429668914E-2</c:v>
                </c:pt>
                <c:pt idx="22">
                  <c:v>3.266647997102326E-2</c:v>
                </c:pt>
                <c:pt idx="23">
                  <c:v>1.5542620099023158E-2</c:v>
                </c:pt>
                <c:pt idx="26">
                  <c:v>0.13584004081196174</c:v>
                </c:pt>
                <c:pt idx="28">
                  <c:v>-1.0943519498952396E-2</c:v>
                </c:pt>
                <c:pt idx="30">
                  <c:v>5.1465606086475435E-2</c:v>
                </c:pt>
                <c:pt idx="32">
                  <c:v>3.2622648903616977E-2</c:v>
                </c:pt>
                <c:pt idx="33">
                  <c:v>3.8954332761107505E-2</c:v>
                </c:pt>
                <c:pt idx="34">
                  <c:v>2.8025448020321135E-2</c:v>
                </c:pt>
                <c:pt idx="35">
                  <c:v>-1.3609272189991029E-2</c:v>
                </c:pt>
                <c:pt idx="36">
                  <c:v>0</c:v>
                </c:pt>
                <c:pt idx="37">
                  <c:v>5.1084311628920187E-2</c:v>
                </c:pt>
                <c:pt idx="38">
                  <c:v>5.4190246797466313E-2</c:v>
                </c:pt>
                <c:pt idx="39">
                  <c:v>1.3476805659032892E-2</c:v>
                </c:pt>
                <c:pt idx="40">
                  <c:v>4.2464691407961691E-3</c:v>
                </c:pt>
                <c:pt idx="41">
                  <c:v>4.8257865572737396E-3</c:v>
                </c:pt>
                <c:pt idx="42">
                  <c:v>2.9363851892303297E-2</c:v>
                </c:pt>
                <c:pt idx="43">
                  <c:v>1.2474394908063707E-2</c:v>
                </c:pt>
                <c:pt idx="44">
                  <c:v>2.4019899687666074E-2</c:v>
                </c:pt>
                <c:pt idx="45">
                  <c:v>3.8565524233992191E-2</c:v>
                </c:pt>
                <c:pt idx="46">
                  <c:v>1.9533418362196991E-2</c:v>
                </c:pt>
                <c:pt idx="47">
                  <c:v>1.8798519800847735E-2</c:v>
                </c:pt>
                <c:pt idx="49">
                  <c:v>1.8389236281407692E-2</c:v>
                </c:pt>
                <c:pt idx="51">
                  <c:v>5.0420506945379223E-2</c:v>
                </c:pt>
                <c:pt idx="53">
                  <c:v>4.948301209432214E-2</c:v>
                </c:pt>
                <c:pt idx="54">
                  <c:v>5.1403405759489484E-2</c:v>
                </c:pt>
                <c:pt idx="58">
                  <c:v>6.5861635786958264E-3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519-7A41-AAA2-78CB371BE1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1246928"/>
        <c:axId val="541248608"/>
      </c:scatterChart>
      <c:valAx>
        <c:axId val="541246928"/>
        <c:scaling>
          <c:orientation val="minMax"/>
          <c:max val="0.15000000000000002"/>
          <c:min val="-0.3000000000000000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="1">
                    <a:solidFill>
                      <a:schemeClr val="tx1"/>
                    </a:solidFill>
                  </a:rPr>
                  <a:t>Change</a:t>
                </a:r>
                <a:r>
                  <a:rPr lang="en-US" sz="2000" b="1" baseline="0">
                    <a:solidFill>
                      <a:schemeClr val="tx1"/>
                    </a:solidFill>
                  </a:rPr>
                  <a:t> in Total Enrolement Compared to 10 Years Ago</a:t>
                </a:r>
                <a:endParaRPr lang="en-US" sz="2000" b="1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248608"/>
        <c:crosses val="autoZero"/>
        <c:crossBetween val="midCat"/>
      </c:valAx>
      <c:valAx>
        <c:axId val="541248608"/>
        <c:scaling>
          <c:orientation val="minMax"/>
          <c:max val="8.000000000000001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="1">
                    <a:solidFill>
                      <a:schemeClr val="tx1"/>
                    </a:solidFill>
                  </a:rPr>
                  <a:t>Change</a:t>
                </a:r>
                <a:r>
                  <a:rPr lang="en-US" sz="2000" b="1" baseline="0">
                    <a:solidFill>
                      <a:schemeClr val="tx1"/>
                    </a:solidFill>
                  </a:rPr>
                  <a:t> in Proportion of Students in FI compared to 10 Years Ago</a:t>
                </a:r>
                <a:endParaRPr lang="en-US" sz="2000" b="1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low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2469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2000" b="1">
                <a:solidFill>
                  <a:schemeClr val="tx1"/>
                </a:solidFill>
              </a:rPr>
              <a:t>Figure</a:t>
            </a:r>
            <a:r>
              <a:rPr lang="en-US" sz="2000" b="1" baseline="0">
                <a:solidFill>
                  <a:schemeClr val="tx1"/>
                </a:solidFill>
              </a:rPr>
              <a:t> 1. Percentage Change in FI Enrolment vs Percentage Change in Total Enrolment (2020/21 - 2021/22, 2 years). Outliers removed</a:t>
            </a:r>
            <a:endParaRPr lang="en-US" sz="20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% Change FI Enrolment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'2021-2022'!$L$4:$L$63</c:f>
              <c:numCache>
                <c:formatCode>0.00%</c:formatCode>
                <c:ptCount val="60"/>
                <c:pt idx="0">
                  <c:v>5.5855855855855858E-3</c:v>
                </c:pt>
                <c:pt idx="1">
                  <c:v>3.0875299760191845E-2</c:v>
                </c:pt>
                <c:pt idx="2">
                  <c:v>-9.5450852965069055E-2</c:v>
                </c:pt>
                <c:pt idx="5">
                  <c:v>4.7765793528505393E-2</c:v>
                </c:pt>
                <c:pt idx="6">
                  <c:v>5.9670059670059667E-3</c:v>
                </c:pt>
                <c:pt idx="7">
                  <c:v>1.0789056813803143E-2</c:v>
                </c:pt>
                <c:pt idx="8">
                  <c:v>2.4619516562220233E-3</c:v>
                </c:pt>
                <c:pt idx="9">
                  <c:v>-2.3744911804613297E-2</c:v>
                </c:pt>
                <c:pt idx="10">
                  <c:v>2.4961343052794346E-2</c:v>
                </c:pt>
                <c:pt idx="11">
                  <c:v>-3.0220904070362039E-2</c:v>
                </c:pt>
                <c:pt idx="12">
                  <c:v>5.1815806073713614E-3</c:v>
                </c:pt>
                <c:pt idx="13">
                  <c:v>-3.5655781018812088E-2</c:v>
                </c:pt>
                <c:pt idx="14">
                  <c:v>-1.6302676099661642E-2</c:v>
                </c:pt>
                <c:pt idx="15">
                  <c:v>-9.286128845037725E-3</c:v>
                </c:pt>
                <c:pt idx="16">
                  <c:v>-5.6452401917620583E-2</c:v>
                </c:pt>
                <c:pt idx="17">
                  <c:v>-0.15492414502442786</c:v>
                </c:pt>
                <c:pt idx="18">
                  <c:v>-3.2102600868283745E-2</c:v>
                </c:pt>
                <c:pt idx="19">
                  <c:v>6.7763157894736841E-3</c:v>
                </c:pt>
                <c:pt idx="20">
                  <c:v>-5.9281418846729141E-2</c:v>
                </c:pt>
                <c:pt idx="21">
                  <c:v>0</c:v>
                </c:pt>
                <c:pt idx="22">
                  <c:v>4.4861909435020327E-3</c:v>
                </c:pt>
                <c:pt idx="24">
                  <c:v>-1.6862869869551385E-2</c:v>
                </c:pt>
                <c:pt idx="25">
                  <c:v>1.7004830917874397E-2</c:v>
                </c:pt>
                <c:pt idx="27">
                  <c:v>-1</c:v>
                </c:pt>
                <c:pt idx="29">
                  <c:v>-3.5480349344978165E-2</c:v>
                </c:pt>
                <c:pt idx="30">
                  <c:v>-4.0712468193384227E-2</c:v>
                </c:pt>
                <c:pt idx="31">
                  <c:v>-5.1662404092071609E-2</c:v>
                </c:pt>
                <c:pt idx="32">
                  <c:v>-2.943442749267992E-2</c:v>
                </c:pt>
                <c:pt idx="33">
                  <c:v>-0.15031503150315031</c:v>
                </c:pt>
                <c:pt idx="34">
                  <c:v>4.7725996631106122E-3</c:v>
                </c:pt>
                <c:pt idx="35">
                  <c:v>-6.3971992361553154E-2</c:v>
                </c:pt>
                <c:pt idx="36">
                  <c:v>2.4345051212105614E-2</c:v>
                </c:pt>
                <c:pt idx="37">
                  <c:v>-7.8860340880183167E-3</c:v>
                </c:pt>
                <c:pt idx="38">
                  <c:v>-0.23796097891056728</c:v>
                </c:pt>
                <c:pt idx="39">
                  <c:v>-1</c:v>
                </c:pt>
                <c:pt idx="40">
                  <c:v>-1.0427712972781902E-2</c:v>
                </c:pt>
                <c:pt idx="41">
                  <c:v>-2.1774521774521775E-2</c:v>
                </c:pt>
                <c:pt idx="42">
                  <c:v>-5.3296577073282794E-2</c:v>
                </c:pt>
                <c:pt idx="43">
                  <c:v>-5.8545550013126807E-2</c:v>
                </c:pt>
                <c:pt idx="44">
                  <c:v>-0.23368320610687024</c:v>
                </c:pt>
                <c:pt idx="45">
                  <c:v>-2.2617723396366331E-2</c:v>
                </c:pt>
                <c:pt idx="46">
                  <c:v>-1.8545406546990495E-2</c:v>
                </c:pt>
                <c:pt idx="48">
                  <c:v>-1.8646192416170479E-2</c:v>
                </c:pt>
                <c:pt idx="50">
                  <c:v>-3.3103618016244153E-2</c:v>
                </c:pt>
                <c:pt idx="52">
                  <c:v>-1.7694641051567239E-3</c:v>
                </c:pt>
                <c:pt idx="53">
                  <c:v>2.5961839224272757E-2</c:v>
                </c:pt>
                <c:pt idx="57">
                  <c:v>-0.32971098265895954</c:v>
                </c:pt>
                <c:pt idx="59">
                  <c:v>-3.4522261385852876E-2</c:v>
                </c:pt>
              </c:numCache>
            </c:numRef>
          </c:xVal>
          <c:yVal>
            <c:numRef>
              <c:f>'2021-2022'!$E$4:$E$63</c:f>
              <c:numCache>
                <c:formatCode>0.00%</c:formatCode>
                <c:ptCount val="60"/>
                <c:pt idx="0">
                  <c:v>6.1538461538461542E-2</c:v>
                </c:pt>
                <c:pt idx="1">
                  <c:v>9.4674556213017749E-2</c:v>
                </c:pt>
                <c:pt idx="2">
                  <c:v>8.5409252669039148E-2</c:v>
                </c:pt>
                <c:pt idx="5">
                  <c:v>-0.09</c:v>
                </c:pt>
                <c:pt idx="6">
                  <c:v>-1.391304347826087E-2</c:v>
                </c:pt>
                <c:pt idx="7">
                  <c:v>6.6225165562913907E-3</c:v>
                </c:pt>
                <c:pt idx="8">
                  <c:v>5.3763440860215058E-3</c:v>
                </c:pt>
                <c:pt idx="9">
                  <c:v>-3.553299492385787E-2</c:v>
                </c:pt>
                <c:pt idx="10">
                  <c:v>1.6689847009735744E-2</c:v>
                </c:pt>
                <c:pt idx="11">
                  <c:v>-5.0447518307567128E-2</c:v>
                </c:pt>
                <c:pt idx="12">
                  <c:v>-1.6185784658691062E-2</c:v>
                </c:pt>
                <c:pt idx="13">
                  <c:v>-1.5166182639561149E-2</c:v>
                </c:pt>
                <c:pt idx="14">
                  <c:v>-1.0542962572482868E-3</c:v>
                </c:pt>
                <c:pt idx="15">
                  <c:v>1.0225820195994887E-2</c:v>
                </c:pt>
                <c:pt idx="16">
                  <c:v>-3.8385437277404039E-2</c:v>
                </c:pt>
                <c:pt idx="17">
                  <c:v>-5.75609756097561E-2</c:v>
                </c:pt>
                <c:pt idx="18">
                  <c:v>3.1876138433515485E-3</c:v>
                </c:pt>
                <c:pt idx="19">
                  <c:v>7.326007326007326E-3</c:v>
                </c:pt>
                <c:pt idx="20">
                  <c:v>-1.5182707153885743E-2</c:v>
                </c:pt>
                <c:pt idx="21">
                  <c:v>2.3637056805184901E-2</c:v>
                </c:pt>
                <c:pt idx="22">
                  <c:v>-2.2944550669216062E-2</c:v>
                </c:pt>
                <c:pt idx="24">
                  <c:v>0.16494845360824742</c:v>
                </c:pt>
                <c:pt idx="25">
                  <c:v>9.3545369504209538E-3</c:v>
                </c:pt>
                <c:pt idx="27">
                  <c:v>0</c:v>
                </c:pt>
                <c:pt idx="29">
                  <c:v>-2.3809523809523808E-2</c:v>
                </c:pt>
                <c:pt idx="30">
                  <c:v>-1</c:v>
                </c:pt>
                <c:pt idx="31">
                  <c:v>-0.10416666666666667</c:v>
                </c:pt>
                <c:pt idx="32">
                  <c:v>-7.6335877862595417E-3</c:v>
                </c:pt>
                <c:pt idx="33">
                  <c:v>1.507537688442211E-2</c:v>
                </c:pt>
                <c:pt idx="34">
                  <c:v>-7.4349442379182153E-3</c:v>
                </c:pt>
                <c:pt idx="35">
                  <c:v>0</c:v>
                </c:pt>
                <c:pt idx="36">
                  <c:v>1.4789828749351324E-2</c:v>
                </c:pt>
                <c:pt idx="37">
                  <c:v>3.8634900193174502E-3</c:v>
                </c:pt>
                <c:pt idx="38">
                  <c:v>3.1120331950207467E-3</c:v>
                </c:pt>
                <c:pt idx="39">
                  <c:v>-0.11320754716981132</c:v>
                </c:pt>
                <c:pt idx="40">
                  <c:v>4.5751633986928102E-2</c:v>
                </c:pt>
                <c:pt idx="41">
                  <c:v>1.1620795107033639E-2</c:v>
                </c:pt>
                <c:pt idx="42">
                  <c:v>1.5555555555555555E-2</c:v>
                </c:pt>
                <c:pt idx="43">
                  <c:v>1.1049723756906077E-2</c:v>
                </c:pt>
                <c:pt idx="44">
                  <c:v>5.4237288135593219E-2</c:v>
                </c:pt>
                <c:pt idx="45">
                  <c:v>-8.1871345029239772E-3</c:v>
                </c:pt>
                <c:pt idx="46">
                  <c:v>1.7412935323383085E-2</c:v>
                </c:pt>
                <c:pt idx="48">
                  <c:v>2.2727272727272728E-2</c:v>
                </c:pt>
                <c:pt idx="50">
                  <c:v>1.4940239043824702E-2</c:v>
                </c:pt>
                <c:pt idx="52">
                  <c:v>1.7738359201773836E-2</c:v>
                </c:pt>
                <c:pt idx="53">
                  <c:v>-2.9023746701846966E-2</c:v>
                </c:pt>
                <c:pt idx="57">
                  <c:v>-0.27011494252873564</c:v>
                </c:pt>
                <c:pt idx="59">
                  <c:v>-3.3269162476870454E-3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6F8-4349-88FC-CEE3EA6E28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1920176"/>
        <c:axId val="391940416"/>
      </c:scatterChart>
      <c:valAx>
        <c:axId val="391920176"/>
        <c:scaling>
          <c:orientation val="minMax"/>
          <c:max val="0.15000000000000002"/>
          <c:min val="-1.0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="1">
                    <a:solidFill>
                      <a:schemeClr val="tx1"/>
                    </a:solidFill>
                  </a:rPr>
                  <a:t>Percentage</a:t>
                </a:r>
                <a:r>
                  <a:rPr lang="en-US" sz="2000" b="1" baseline="0">
                    <a:solidFill>
                      <a:schemeClr val="tx1"/>
                    </a:solidFill>
                  </a:rPr>
                  <a:t> Change in Total Enrolment Compared to Previous Year</a:t>
                </a:r>
                <a:endParaRPr lang="en-US" sz="2000" b="1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1940416"/>
        <c:crosses val="autoZero"/>
        <c:crossBetween val="midCat"/>
      </c:valAx>
      <c:valAx>
        <c:axId val="391940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="1">
                    <a:solidFill>
                      <a:schemeClr val="tx1"/>
                    </a:solidFill>
                  </a:rPr>
                  <a:t>Percentage</a:t>
                </a:r>
                <a:r>
                  <a:rPr lang="en-US" sz="2000" b="1" baseline="0">
                    <a:solidFill>
                      <a:schemeClr val="tx1"/>
                    </a:solidFill>
                  </a:rPr>
                  <a:t> Change in FI Enrolment Compared to Previous Year</a:t>
                </a:r>
                <a:endParaRPr lang="en-US" sz="2000" b="1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low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192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2000" b="1">
                <a:solidFill>
                  <a:schemeClr val="tx1"/>
                </a:solidFill>
              </a:rPr>
              <a:t>Figure</a:t>
            </a:r>
            <a:r>
              <a:rPr lang="en-US" sz="2000" b="1" baseline="0">
                <a:solidFill>
                  <a:schemeClr val="tx1"/>
                </a:solidFill>
              </a:rPr>
              <a:t> 3. Change in Proportion of Students in FI vs Percentage change in Total Enrolment fo BC SDs (2011/12 - 2021/22, 11 years). Outliers removed</a:t>
            </a:r>
            <a:endParaRPr lang="en-US" sz="20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% Change of Students in FI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'2021-2022'!$P$4:$P$63</c:f>
              <c:numCache>
                <c:formatCode>0.00%</c:formatCode>
                <c:ptCount val="60"/>
                <c:pt idx="0">
                  <c:v>7.4302213666987485E-2</c:v>
                </c:pt>
                <c:pt idx="1">
                  <c:v>0</c:v>
                </c:pt>
                <c:pt idx="2">
                  <c:v>-3.8635873084394562E-2</c:v>
                </c:pt>
                <c:pt idx="5">
                  <c:v>7.9079608569161602E-2</c:v>
                </c:pt>
                <c:pt idx="6">
                  <c:v>4.7769924445527662E-2</c:v>
                </c:pt>
                <c:pt idx="7">
                  <c:v>0.11478893191047314</c:v>
                </c:pt>
                <c:pt idx="8">
                  <c:v>-8.6850152905198777E-2</c:v>
                </c:pt>
                <c:pt idx="9">
                  <c:v>-0.11663597298956414</c:v>
                </c:pt>
                <c:pt idx="10">
                  <c:v>0.17846258042668472</c:v>
                </c:pt>
                <c:pt idx="11">
                  <c:v>2.7022636196252572E-2</c:v>
                </c:pt>
                <c:pt idx="12">
                  <c:v>0.20322528450461141</c:v>
                </c:pt>
                <c:pt idx="13">
                  <c:v>0.10117664806154775</c:v>
                </c:pt>
                <c:pt idx="14">
                  <c:v>7.9425113464447802E-3</c:v>
                </c:pt>
                <c:pt idx="15">
                  <c:v>0</c:v>
                </c:pt>
                <c:pt idx="16">
                  <c:v>-8.3444212126972062E-2</c:v>
                </c:pt>
                <c:pt idx="17">
                  <c:v>0.1287995878413189</c:v>
                </c:pt>
                <c:pt idx="18">
                  <c:v>1.9893398245687664E-2</c:v>
                </c:pt>
                <c:pt idx="19">
                  <c:v>6.9167889331377075E-2</c:v>
                </c:pt>
                <c:pt idx="20">
                  <c:v>1.3217162584251192E-2</c:v>
                </c:pt>
                <c:pt idx="21">
                  <c:v>1.8414783336552699E-2</c:v>
                </c:pt>
                <c:pt idx="22">
                  <c:v>-5.2755796196029435E-3</c:v>
                </c:pt>
                <c:pt idx="24">
                  <c:v>0.51768172888015718</c:v>
                </c:pt>
                <c:pt idx="25">
                  <c:v>0.26484018264840181</c:v>
                </c:pt>
                <c:pt idx="27">
                  <c:v>0</c:v>
                </c:pt>
                <c:pt idx="29">
                  <c:v>-0.17236533957845435</c:v>
                </c:pt>
                <c:pt idx="30">
                  <c:v>-1.3089005235602094E-2</c:v>
                </c:pt>
                <c:pt idx="31">
                  <c:v>-0.16335740072202165</c:v>
                </c:pt>
                <c:pt idx="32">
                  <c:v>-1.0526315789473684E-2</c:v>
                </c:pt>
                <c:pt idx="33">
                  <c:v>-0.10943396226415095</c:v>
                </c:pt>
                <c:pt idx="34">
                  <c:v>-5.8653340347185695E-2</c:v>
                </c:pt>
                <c:pt idx="35">
                  <c:v>9.3105370748931424E-2</c:v>
                </c:pt>
                <c:pt idx="36">
                  <c:v>4.5932310279587975E-2</c:v>
                </c:pt>
                <c:pt idx="37">
                  <c:v>0.38346931536005674</c:v>
                </c:pt>
                <c:pt idx="38">
                  <c:v>-1.1845568879789412E-2</c:v>
                </c:pt>
                <c:pt idx="39">
                  <c:v>-1</c:v>
                </c:pt>
                <c:pt idx="40">
                  <c:v>-6.5743367261805435E-2</c:v>
                </c:pt>
                <c:pt idx="41">
                  <c:v>7.5150972936703198E-2</c:v>
                </c:pt>
                <c:pt idx="42">
                  <c:v>8.0724070450097843E-3</c:v>
                </c:pt>
                <c:pt idx="43">
                  <c:v>-2.5278608317477577E-2</c:v>
                </c:pt>
                <c:pt idx="44">
                  <c:v>5.4075337970862315E-2</c:v>
                </c:pt>
                <c:pt idx="45">
                  <c:v>3.98422090729783E-2</c:v>
                </c:pt>
                <c:pt idx="46">
                  <c:v>9.2331423534596738E-2</c:v>
                </c:pt>
                <c:pt idx="48">
                  <c:v>0</c:v>
                </c:pt>
                <c:pt idx="50">
                  <c:v>1.2369540007730962E-2</c:v>
                </c:pt>
                <c:pt idx="52">
                  <c:v>-0.1561965811965812</c:v>
                </c:pt>
                <c:pt idx="53">
                  <c:v>6.4935064935064929E-2</c:v>
                </c:pt>
                <c:pt idx="57">
                  <c:v>-0.15775711795467751</c:v>
                </c:pt>
                <c:pt idx="59">
                  <c:v>3.8046028334443302E-2</c:v>
                </c:pt>
              </c:numCache>
            </c:numRef>
          </c:xVal>
          <c:yVal>
            <c:numRef>
              <c:f>'2021-2022'!$W$4:$W$63</c:f>
              <c:numCache>
                <c:formatCode>0.00%</c:formatCode>
                <c:ptCount val="60"/>
                <c:pt idx="0">
                  <c:v>3.4850747388318587E-2</c:v>
                </c:pt>
                <c:pt idx="1">
                  <c:v>0</c:v>
                </c:pt>
                <c:pt idx="2">
                  <c:v>8.0417701983903148E-3</c:v>
                </c:pt>
                <c:pt idx="5">
                  <c:v>4.3725075325025543E-2</c:v>
                </c:pt>
                <c:pt idx="6">
                  <c:v>8.5667406909893107E-3</c:v>
                </c:pt>
                <c:pt idx="7">
                  <c:v>1.9703288817754516E-2</c:v>
                </c:pt>
                <c:pt idx="8">
                  <c:v>2.029996593003161E-2</c:v>
                </c:pt>
                <c:pt idx="9">
                  <c:v>1.1076386089343984E-2</c:v>
                </c:pt>
                <c:pt idx="10">
                  <c:v>1.3994218815076044E-2</c:v>
                </c:pt>
                <c:pt idx="11">
                  <c:v>-3.5581971372473306E-3</c:v>
                </c:pt>
                <c:pt idx="12">
                  <c:v>-1.1710415856015913E-2</c:v>
                </c:pt>
                <c:pt idx="13">
                  <c:v>-5.1353032147559013E-3</c:v>
                </c:pt>
                <c:pt idx="14">
                  <c:v>-5.9211080298862961E-3</c:v>
                </c:pt>
                <c:pt idx="15">
                  <c:v>0</c:v>
                </c:pt>
                <c:pt idx="16">
                  <c:v>9.7787409304011252E-3</c:v>
                </c:pt>
                <c:pt idx="17">
                  <c:v>-1.1544503206684514E-2</c:v>
                </c:pt>
                <c:pt idx="18">
                  <c:v>6.8841931238059068E-3</c:v>
                </c:pt>
                <c:pt idx="19">
                  <c:v>6.3757580011004622E-3</c:v>
                </c:pt>
                <c:pt idx="20">
                  <c:v>2.4529927644064461E-2</c:v>
                </c:pt>
                <c:pt idx="21">
                  <c:v>1.5803897897344765E-2</c:v>
                </c:pt>
                <c:pt idx="22">
                  <c:v>1.8522870646186324E-2</c:v>
                </c:pt>
                <c:pt idx="25">
                  <c:v>0.11441293010479814</c:v>
                </c:pt>
                <c:pt idx="27">
                  <c:v>0</c:v>
                </c:pt>
                <c:pt idx="29">
                  <c:v>4.0137625926264631E-2</c:v>
                </c:pt>
                <c:pt idx="31">
                  <c:v>1.8765163817913461E-2</c:v>
                </c:pt>
                <c:pt idx="32">
                  <c:v>2.8314753221574104E-2</c:v>
                </c:pt>
                <c:pt idx="33">
                  <c:v>2.7274544291653352E-2</c:v>
                </c:pt>
                <c:pt idx="34">
                  <c:v>-2.5608571480224149E-2</c:v>
                </c:pt>
                <c:pt idx="35">
                  <c:v>4.14362345479799E-4</c:v>
                </c:pt>
                <c:pt idx="36">
                  <c:v>2.2768957000084522E-2</c:v>
                </c:pt>
                <c:pt idx="37">
                  <c:v>2.434399662849468E-2</c:v>
                </c:pt>
                <c:pt idx="38">
                  <c:v>1.0031000100726412E-2</c:v>
                </c:pt>
                <c:pt idx="39">
                  <c:v>0</c:v>
                </c:pt>
                <c:pt idx="40">
                  <c:v>1.3410001136349853E-3</c:v>
                </c:pt>
                <c:pt idx="41">
                  <c:v>1.9636815027092677E-2</c:v>
                </c:pt>
                <c:pt idx="42">
                  <c:v>2.0631225867602854E-2</c:v>
                </c:pt>
                <c:pt idx="43">
                  <c:v>3.6672772478881371E-3</c:v>
                </c:pt>
                <c:pt idx="44">
                  <c:v>1.3673880754993428E-2</c:v>
                </c:pt>
                <c:pt idx="45">
                  <c:v>-2.942118385097503E-4</c:v>
                </c:pt>
                <c:pt idx="46">
                  <c:v>4.9423721839463308E-3</c:v>
                </c:pt>
                <c:pt idx="48">
                  <c:v>0</c:v>
                </c:pt>
                <c:pt idx="50">
                  <c:v>2.4809875834759701E-2</c:v>
                </c:pt>
                <c:pt idx="52">
                  <c:v>3.7599478825105573E-2</c:v>
                </c:pt>
                <c:pt idx="53">
                  <c:v>5.0522648083623778E-3</c:v>
                </c:pt>
                <c:pt idx="57">
                  <c:v>-1.5750186553739602E-2</c:v>
                </c:pt>
                <c:pt idx="59">
                  <c:v>9.4401874405501962E-3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95B-7644-9780-EC2059BF6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1246928"/>
        <c:axId val="541248608"/>
      </c:scatterChart>
      <c:valAx>
        <c:axId val="541246928"/>
        <c:scaling>
          <c:orientation val="minMax"/>
          <c:max val="0.15000000000000002"/>
          <c:min val="-0.3000000000000000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="1">
                    <a:solidFill>
                      <a:schemeClr val="tx1"/>
                    </a:solidFill>
                  </a:rPr>
                  <a:t>Change</a:t>
                </a:r>
                <a:r>
                  <a:rPr lang="en-US" sz="2000" b="1" baseline="0">
                    <a:solidFill>
                      <a:schemeClr val="tx1"/>
                    </a:solidFill>
                  </a:rPr>
                  <a:t> in Total Enrolement Compared to 10 Years Ago</a:t>
                </a:r>
                <a:endParaRPr lang="en-US" sz="2000" b="1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248608"/>
        <c:crosses val="autoZero"/>
        <c:crossBetween val="midCat"/>
      </c:valAx>
      <c:valAx>
        <c:axId val="541248608"/>
        <c:scaling>
          <c:orientation val="minMax"/>
          <c:max val="8.000000000000001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="1">
                    <a:solidFill>
                      <a:schemeClr val="tx1"/>
                    </a:solidFill>
                  </a:rPr>
                  <a:t>Change</a:t>
                </a:r>
                <a:r>
                  <a:rPr lang="en-US" sz="2000" b="1" baseline="0">
                    <a:solidFill>
                      <a:schemeClr val="tx1"/>
                    </a:solidFill>
                  </a:rPr>
                  <a:t> in Proportion of Students in FI compared to 10 Years Ago</a:t>
                </a:r>
                <a:endParaRPr lang="en-US" sz="2000" b="1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low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2469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2000" b="1">
                <a:solidFill>
                  <a:schemeClr val="tx1"/>
                </a:solidFill>
              </a:rPr>
              <a:t>Figure</a:t>
            </a:r>
            <a:r>
              <a:rPr lang="en-US" sz="2000" b="1" baseline="0">
                <a:solidFill>
                  <a:schemeClr val="tx1"/>
                </a:solidFill>
              </a:rPr>
              <a:t> 2. Change in Proportion of Students in FI vs Percentage Change in Total Enrolment for BC SDs (2016/17 - 2021/22, 6 years). Outliers removed.</a:t>
            </a:r>
            <a:endParaRPr lang="en-US" sz="20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% Change Students in FI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'2021-2022'!$N$4:$N$63</c:f>
              <c:numCache>
                <c:formatCode>0.00%</c:formatCode>
                <c:ptCount val="60"/>
                <c:pt idx="0">
                  <c:v>1.9546949214468395E-2</c:v>
                </c:pt>
                <c:pt idx="1">
                  <c:v>5.8479532163742687E-2</c:v>
                </c:pt>
                <c:pt idx="2">
                  <c:v>-0.10020202020202021</c:v>
                </c:pt>
                <c:pt idx="5">
                  <c:v>8.1081081081081086E-2</c:v>
                </c:pt>
                <c:pt idx="6">
                  <c:v>1.2840146071386499E-2</c:v>
                </c:pt>
                <c:pt idx="7">
                  <c:v>6.8667390910736925E-2</c:v>
                </c:pt>
                <c:pt idx="8">
                  <c:v>-3.4698275862068965E-2</c:v>
                </c:pt>
                <c:pt idx="9">
                  <c:v>-6.0091443500979752E-2</c:v>
                </c:pt>
                <c:pt idx="10">
                  <c:v>3.3868092691622102E-2</c:v>
                </c:pt>
                <c:pt idx="11">
                  <c:v>-2.7435897435897437E-2</c:v>
                </c:pt>
                <c:pt idx="12">
                  <c:v>3.349393125173724E-2</c:v>
                </c:pt>
                <c:pt idx="13">
                  <c:v>1.6133522648180628E-2</c:v>
                </c:pt>
                <c:pt idx="14">
                  <c:v>-2.5831607164615571E-2</c:v>
                </c:pt>
                <c:pt idx="15">
                  <c:v>-1.7318301751019428E-2</c:v>
                </c:pt>
                <c:pt idx="16">
                  <c:v>-7.7076195762436114E-2</c:v>
                </c:pt>
                <c:pt idx="17">
                  <c:v>-0.13898349489127587</c:v>
                </c:pt>
                <c:pt idx="18">
                  <c:v>-3.2603503184713375E-2</c:v>
                </c:pt>
                <c:pt idx="19">
                  <c:v>1.7757382282521949E-2</c:v>
                </c:pt>
                <c:pt idx="20">
                  <c:v>-6.7084430720794355E-2</c:v>
                </c:pt>
                <c:pt idx="21">
                  <c:v>-1.2486732846350752E-2</c:v>
                </c:pt>
                <c:pt idx="22">
                  <c:v>-1.7551076374605786E-2</c:v>
                </c:pt>
                <c:pt idx="24">
                  <c:v>0.47423664122137404</c:v>
                </c:pt>
                <c:pt idx="25">
                  <c:v>6.9932913193738566E-2</c:v>
                </c:pt>
                <c:pt idx="27">
                  <c:v>-1</c:v>
                </c:pt>
                <c:pt idx="29">
                  <c:v>-0.11339688911189162</c:v>
                </c:pt>
                <c:pt idx="30">
                  <c:v>-3.2920051303976058E-2</c:v>
                </c:pt>
                <c:pt idx="31">
                  <c:v>-7.8070611636001985E-2</c:v>
                </c:pt>
                <c:pt idx="32">
                  <c:v>-3.5897435897435895E-2</c:v>
                </c:pt>
                <c:pt idx="33">
                  <c:v>-0.19796091758708581</c:v>
                </c:pt>
                <c:pt idx="34">
                  <c:v>3.980244044160372E-2</c:v>
                </c:pt>
                <c:pt idx="35">
                  <c:v>-4.8220064724919097E-2</c:v>
                </c:pt>
                <c:pt idx="36">
                  <c:v>-4.9995000499950008E-3</c:v>
                </c:pt>
                <c:pt idx="37">
                  <c:v>7.0056703859520758E-2</c:v>
                </c:pt>
                <c:pt idx="38">
                  <c:v>-0.17142857142857143</c:v>
                </c:pt>
                <c:pt idx="39">
                  <c:v>-1</c:v>
                </c:pt>
                <c:pt idx="40">
                  <c:v>-3.5984848484848488E-2</c:v>
                </c:pt>
                <c:pt idx="41">
                  <c:v>3.7705979707850612E-2</c:v>
                </c:pt>
                <c:pt idx="42">
                  <c:v>-3.8273045507584598E-2</c:v>
                </c:pt>
                <c:pt idx="43">
                  <c:v>-7.1225071225071226E-2</c:v>
                </c:pt>
                <c:pt idx="44">
                  <c:v>-3.2642736689954231E-2</c:v>
                </c:pt>
                <c:pt idx="45">
                  <c:v>-9.7670924117205116E-3</c:v>
                </c:pt>
                <c:pt idx="46">
                  <c:v>3.1991672449687716E-2</c:v>
                </c:pt>
                <c:pt idx="48">
                  <c:v>3.1455862977602111E-2</c:v>
                </c:pt>
                <c:pt idx="50">
                  <c:v>4.0894568690095848E-3</c:v>
                </c:pt>
                <c:pt idx="52">
                  <c:v>-6.5988647114474927E-2</c:v>
                </c:pt>
                <c:pt idx="53">
                  <c:v>9.4610378775237772E-2</c:v>
                </c:pt>
                <c:pt idx="57">
                  <c:v>-0.34824640287769787</c:v>
                </c:pt>
                <c:pt idx="59">
                  <c:v>-1.6098488244893568E-2</c:v>
                </c:pt>
              </c:numCache>
            </c:numRef>
          </c:xVal>
          <c:yVal>
            <c:numRef>
              <c:f>'2021-2022'!$U$4:$U$63</c:f>
              <c:numCache>
                <c:formatCode>0.00%</c:formatCode>
                <c:ptCount val="60"/>
                <c:pt idx="0">
                  <c:v>1.6823907410163028E-2</c:v>
                </c:pt>
                <c:pt idx="1">
                  <c:v>9.4733781239956516E-3</c:v>
                </c:pt>
                <c:pt idx="2">
                  <c:v>1.4942419253151179E-2</c:v>
                </c:pt>
                <c:pt idx="5">
                  <c:v>1.8733439321674622E-2</c:v>
                </c:pt>
                <c:pt idx="6">
                  <c:v>-2.8714965231060874E-3</c:v>
                </c:pt>
                <c:pt idx="7">
                  <c:v>9.4241304832033135E-3</c:v>
                </c:pt>
                <c:pt idx="8">
                  <c:v>4.1904365968388757E-3</c:v>
                </c:pt>
                <c:pt idx="9">
                  <c:v>-1.9113897678235681E-3</c:v>
                </c:pt>
                <c:pt idx="10">
                  <c:v>6.7627338291638556E-3</c:v>
                </c:pt>
                <c:pt idx="11">
                  <c:v>-7.1835432341627939E-3</c:v>
                </c:pt>
                <c:pt idx="12">
                  <c:v>-8.7698974400546303E-3</c:v>
                </c:pt>
                <c:pt idx="13">
                  <c:v>-4.989806473460319E-3</c:v>
                </c:pt>
                <c:pt idx="14">
                  <c:v>-5.4070363369088104E-3</c:v>
                </c:pt>
                <c:pt idx="15">
                  <c:v>7.9052695926719319E-3</c:v>
                </c:pt>
                <c:pt idx="16">
                  <c:v>-1.6867284920762532E-3</c:v>
                </c:pt>
                <c:pt idx="17">
                  <c:v>1.6888880332730394E-2</c:v>
                </c:pt>
                <c:pt idx="18">
                  <c:v>2.088456950606471E-4</c:v>
                </c:pt>
                <c:pt idx="19">
                  <c:v>3.4724346336485051E-3</c:v>
                </c:pt>
                <c:pt idx="20">
                  <c:v>4.3045833680872697E-3</c:v>
                </c:pt>
                <c:pt idx="21">
                  <c:v>1.1859325242993046E-2</c:v>
                </c:pt>
                <c:pt idx="22">
                  <c:v>1.5436228317472767E-3</c:v>
                </c:pt>
                <c:pt idx="24">
                  <c:v>5.8681662096395776E-3</c:v>
                </c:pt>
                <c:pt idx="25">
                  <c:v>1.6563212895573692E-2</c:v>
                </c:pt>
                <c:pt idx="27">
                  <c:v>0</c:v>
                </c:pt>
                <c:pt idx="29">
                  <c:v>1.0145299152580153E-2</c:v>
                </c:pt>
                <c:pt idx="31">
                  <c:v>-3.697034165380586E-3</c:v>
                </c:pt>
                <c:pt idx="32">
                  <c:v>1.1064969750266676E-2</c:v>
                </c:pt>
                <c:pt idx="33">
                  <c:v>2.0755331710899591E-2</c:v>
                </c:pt>
                <c:pt idx="34">
                  <c:v>-3.2603269215689235E-2</c:v>
                </c:pt>
                <c:pt idx="35">
                  <c:v>1.4396947959272322E-3</c:v>
                </c:pt>
                <c:pt idx="36">
                  <c:v>6.1819463717380785E-3</c:v>
                </c:pt>
                <c:pt idx="37">
                  <c:v>1.6364746364746371E-2</c:v>
                </c:pt>
                <c:pt idx="38">
                  <c:v>3.3239603374278531E-2</c:v>
                </c:pt>
                <c:pt idx="39">
                  <c:v>0</c:v>
                </c:pt>
                <c:pt idx="40">
                  <c:v>-2.7737637132171922E-3</c:v>
                </c:pt>
                <c:pt idx="41">
                  <c:v>1.1441622648229455E-3</c:v>
                </c:pt>
                <c:pt idx="42">
                  <c:v>2.1747222369302904E-2</c:v>
                </c:pt>
                <c:pt idx="43">
                  <c:v>1.2190490718098079E-2</c:v>
                </c:pt>
                <c:pt idx="44">
                  <c:v>9.0312979867432086E-3</c:v>
                </c:pt>
                <c:pt idx="45">
                  <c:v>5.8910946964471356E-3</c:v>
                </c:pt>
                <c:pt idx="46">
                  <c:v>-1.5986757453447381E-3</c:v>
                </c:pt>
                <c:pt idx="48">
                  <c:v>4.5342315125513899E-3</c:v>
                </c:pt>
                <c:pt idx="50">
                  <c:v>-4.4920363640651717E-3</c:v>
                </c:pt>
                <c:pt idx="52">
                  <c:v>1.4055987731945607E-2</c:v>
                </c:pt>
                <c:pt idx="53">
                  <c:v>-1.3451465734413734E-2</c:v>
                </c:pt>
                <c:pt idx="57">
                  <c:v>-5.652221927184016E-3</c:v>
                </c:pt>
                <c:pt idx="59">
                  <c:v>2.9634305559760599E-3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F28-AA4E-9EF3-E3CB2E565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4298864"/>
        <c:axId val="443948640"/>
      </c:scatterChart>
      <c:valAx>
        <c:axId val="444298864"/>
        <c:scaling>
          <c:orientation val="minMax"/>
          <c:max val="0.15000000000000002"/>
          <c:min val="-0.1500000000000000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>
                    <a:solidFill>
                      <a:schemeClr val="tx1"/>
                    </a:solidFill>
                  </a:rPr>
                  <a:t>Change</a:t>
                </a:r>
                <a:r>
                  <a:rPr lang="en-US" sz="1800" b="1" baseline="0">
                    <a:solidFill>
                      <a:schemeClr val="tx1"/>
                    </a:solidFill>
                  </a:rPr>
                  <a:t> in Total Enrolment Compared to 5 Years Ago</a:t>
                </a:r>
                <a:endParaRPr lang="en-US" sz="1800" b="1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3948640"/>
        <c:crosses val="autoZero"/>
        <c:crossBetween val="midCat"/>
      </c:valAx>
      <c:valAx>
        <c:axId val="443948640"/>
        <c:scaling>
          <c:orientation val="minMax"/>
          <c:min val="-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>
                    <a:solidFill>
                      <a:schemeClr val="tx1"/>
                    </a:solidFill>
                  </a:rPr>
                  <a:t>Change</a:t>
                </a:r>
                <a:r>
                  <a:rPr lang="en-US" sz="1800" b="1" baseline="0">
                    <a:solidFill>
                      <a:schemeClr val="tx1"/>
                    </a:solidFill>
                  </a:rPr>
                  <a:t> in Proportions of Students in FI Compared to 5 Years Ago</a:t>
                </a:r>
                <a:endParaRPr lang="en-US" sz="1800" b="1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low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2988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1. Percentage Change in FI Enrolment (2020/21 - 2021/22, 2 years) vs Total Enrolment (2021/22). Outliers removed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Figure 1. Percentage Change in FI Enrolment (2017/18 - 2018/19, 2 years) vs Total Enrolment (2018/19). Outliers removed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2"/>
              <c:layout>
                <c:manualLayout>
                  <c:x val="-8.0691642651297048E-3"/>
                  <c:y val="-5.084401057555419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SD</a:t>
                    </a:r>
                    <a:r>
                      <a:rPr lang="en-US" baseline="0"/>
                      <a:t> 6 Rocky Mountain</a:t>
                    </a:r>
                    <a:endParaRPr 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4BE8-164A-935C-C4DF1019ACED}"/>
                </c:ext>
              </c:extLst>
            </c:dLbl>
            <c:dLbl>
              <c:idx val="10"/>
              <c:layout>
                <c:manualLayout>
                  <c:x val="-3.5734870317002884E-2"/>
                  <c:y val="-4.270896888346559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SD 28 Quesnel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4BE8-164A-935C-C4DF1019ACED}"/>
                </c:ext>
              </c:extLst>
            </c:dLbl>
            <c:dLbl>
              <c:idx val="12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1-9DF8-412C-9AB6-3EEC0A79012A}"/>
                </c:ext>
              </c:extLst>
            </c:dLbl>
            <c:dLbl>
              <c:idx val="13"/>
              <c:layout>
                <c:manualLayout>
                  <c:x val="0.5486622467122485"/>
                  <c:y val="-2.03376042302216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SD 36 Surrey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4BE8-164A-935C-C4DF1019ACE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'2021-2022'!$J$4:$J$63</c:f>
              <c:numCache>
                <c:formatCode>#,##0</c:formatCode>
                <c:ptCount val="60"/>
                <c:pt idx="0" formatCode="_-* #,##0_-;\-* #,##0_-;_-* &quot;-&quot;??_-;_-@_-">
                  <c:v>5581</c:v>
                </c:pt>
                <c:pt idx="1">
                  <c:v>3439</c:v>
                </c:pt>
                <c:pt idx="2" formatCode="_-* #,##0_-;\-* #,##0_-;_-* &quot;-&quot;??_-;_-@_-">
                  <c:v>4454</c:v>
                </c:pt>
                <c:pt idx="5">
                  <c:v>4080</c:v>
                </c:pt>
                <c:pt idx="6" formatCode="_-* #,##0_-;\-* #,##0_-;_-* &quot;-&quot;??_-;_-@_-">
                  <c:v>8598</c:v>
                </c:pt>
                <c:pt idx="7">
                  <c:v>23609</c:v>
                </c:pt>
                <c:pt idx="8">
                  <c:v>4479</c:v>
                </c:pt>
                <c:pt idx="9">
                  <c:v>2878</c:v>
                </c:pt>
                <c:pt idx="10">
                  <c:v>13920</c:v>
                </c:pt>
                <c:pt idx="11">
                  <c:v>18965</c:v>
                </c:pt>
                <c:pt idx="12">
                  <c:v>22309</c:v>
                </c:pt>
                <c:pt idx="13">
                  <c:v>72997</c:v>
                </c:pt>
                <c:pt idx="14">
                  <c:v>15990</c:v>
                </c:pt>
                <c:pt idx="15">
                  <c:v>20484</c:v>
                </c:pt>
                <c:pt idx="16">
                  <c:v>48220</c:v>
                </c:pt>
                <c:pt idx="17">
                  <c:v>6573</c:v>
                </c:pt>
                <c:pt idx="18">
                  <c:v>24301</c:v>
                </c:pt>
                <c:pt idx="19">
                  <c:v>15303</c:v>
                </c:pt>
                <c:pt idx="20">
                  <c:v>30817</c:v>
                </c:pt>
                <c:pt idx="21">
                  <c:v>15817</c:v>
                </c:pt>
                <c:pt idx="22">
                  <c:v>7165</c:v>
                </c:pt>
                <c:pt idx="24">
                  <c:v>3090</c:v>
                </c:pt>
                <c:pt idx="25">
                  <c:v>5263</c:v>
                </c:pt>
                <c:pt idx="29">
                  <c:v>1767</c:v>
                </c:pt>
                <c:pt idx="30" formatCode="_-* #,##0_-;\-* #,##0_-;_-* &quot;-&quot;??_-;_-@_-">
                  <c:v>2262</c:v>
                </c:pt>
                <c:pt idx="31">
                  <c:v>1854</c:v>
                </c:pt>
                <c:pt idx="32">
                  <c:v>12596</c:v>
                </c:pt>
                <c:pt idx="33">
                  <c:v>1888</c:v>
                </c:pt>
                <c:pt idx="34">
                  <c:v>3579</c:v>
                </c:pt>
                <c:pt idx="35">
                  <c:v>5882</c:v>
                </c:pt>
                <c:pt idx="36">
                  <c:v>19902</c:v>
                </c:pt>
                <c:pt idx="37">
                  <c:v>11700</c:v>
                </c:pt>
                <c:pt idx="38">
                  <c:v>6757</c:v>
                </c:pt>
                <c:pt idx="40">
                  <c:v>5599</c:v>
                </c:pt>
                <c:pt idx="41">
                  <c:v>14421</c:v>
                </c:pt>
                <c:pt idx="42">
                  <c:v>4121</c:v>
                </c:pt>
                <c:pt idx="43">
                  <c:v>3586</c:v>
                </c:pt>
                <c:pt idx="44">
                  <c:v>8031</c:v>
                </c:pt>
                <c:pt idx="45">
                  <c:v>5272</c:v>
                </c:pt>
                <c:pt idx="46">
                  <c:v>14871</c:v>
                </c:pt>
                <c:pt idx="48">
                  <c:v>6263</c:v>
                </c:pt>
                <c:pt idx="50">
                  <c:v>7857</c:v>
                </c:pt>
                <c:pt idx="52">
                  <c:v>3949</c:v>
                </c:pt>
                <c:pt idx="53">
                  <c:v>6560</c:v>
                </c:pt>
                <c:pt idx="57">
                  <c:v>2899</c:v>
                </c:pt>
                <c:pt idx="59" formatCode="_-* #,##0_-;\-* #,##0_-;_-* &quot;-&quot;??_-;_-@_-">
                  <c:v>548653</c:v>
                </c:pt>
              </c:numCache>
            </c:numRef>
          </c:xVal>
          <c:yVal>
            <c:numRef>
              <c:f>'2021-2022'!$E$4:$E$63</c:f>
              <c:numCache>
                <c:formatCode>0.00%</c:formatCode>
                <c:ptCount val="60"/>
                <c:pt idx="0">
                  <c:v>6.1538461538461542E-2</c:v>
                </c:pt>
                <c:pt idx="1">
                  <c:v>9.4674556213017749E-2</c:v>
                </c:pt>
                <c:pt idx="2">
                  <c:v>8.5409252669039148E-2</c:v>
                </c:pt>
                <c:pt idx="5">
                  <c:v>-0.09</c:v>
                </c:pt>
                <c:pt idx="6">
                  <c:v>-1.391304347826087E-2</c:v>
                </c:pt>
                <c:pt idx="7">
                  <c:v>6.6225165562913907E-3</c:v>
                </c:pt>
                <c:pt idx="8">
                  <c:v>5.3763440860215058E-3</c:v>
                </c:pt>
                <c:pt idx="9">
                  <c:v>-3.553299492385787E-2</c:v>
                </c:pt>
                <c:pt idx="10">
                  <c:v>1.6689847009735744E-2</c:v>
                </c:pt>
                <c:pt idx="11">
                  <c:v>-5.0447518307567128E-2</c:v>
                </c:pt>
                <c:pt idx="12">
                  <c:v>-1.6185784658691062E-2</c:v>
                </c:pt>
                <c:pt idx="13">
                  <c:v>-1.5166182639561149E-2</c:v>
                </c:pt>
                <c:pt idx="14">
                  <c:v>-1.0542962572482868E-3</c:v>
                </c:pt>
                <c:pt idx="15">
                  <c:v>1.0225820195994887E-2</c:v>
                </c:pt>
                <c:pt idx="16">
                  <c:v>-3.8385437277404039E-2</c:v>
                </c:pt>
                <c:pt idx="17">
                  <c:v>-5.75609756097561E-2</c:v>
                </c:pt>
                <c:pt idx="18">
                  <c:v>3.1876138433515485E-3</c:v>
                </c:pt>
                <c:pt idx="19">
                  <c:v>7.326007326007326E-3</c:v>
                </c:pt>
                <c:pt idx="20">
                  <c:v>-1.5182707153885743E-2</c:v>
                </c:pt>
                <c:pt idx="21">
                  <c:v>2.3637056805184901E-2</c:v>
                </c:pt>
                <c:pt idx="22">
                  <c:v>-2.2944550669216062E-2</c:v>
                </c:pt>
                <c:pt idx="24">
                  <c:v>0.16494845360824742</c:v>
                </c:pt>
                <c:pt idx="25">
                  <c:v>9.3545369504209538E-3</c:v>
                </c:pt>
                <c:pt idx="27">
                  <c:v>0</c:v>
                </c:pt>
                <c:pt idx="29">
                  <c:v>-2.3809523809523808E-2</c:v>
                </c:pt>
                <c:pt idx="30">
                  <c:v>-1</c:v>
                </c:pt>
                <c:pt idx="31">
                  <c:v>-0.10416666666666667</c:v>
                </c:pt>
                <c:pt idx="32">
                  <c:v>-7.6335877862595417E-3</c:v>
                </c:pt>
                <c:pt idx="33">
                  <c:v>1.507537688442211E-2</c:v>
                </c:pt>
                <c:pt idx="34">
                  <c:v>-7.4349442379182153E-3</c:v>
                </c:pt>
                <c:pt idx="35">
                  <c:v>0</c:v>
                </c:pt>
                <c:pt idx="36">
                  <c:v>1.4789828749351324E-2</c:v>
                </c:pt>
                <c:pt idx="37">
                  <c:v>3.8634900193174502E-3</c:v>
                </c:pt>
                <c:pt idx="38">
                  <c:v>3.1120331950207467E-3</c:v>
                </c:pt>
                <c:pt idx="39">
                  <c:v>-0.11320754716981132</c:v>
                </c:pt>
                <c:pt idx="40">
                  <c:v>4.5751633986928102E-2</c:v>
                </c:pt>
                <c:pt idx="41">
                  <c:v>1.1620795107033639E-2</c:v>
                </c:pt>
                <c:pt idx="42">
                  <c:v>1.5555555555555555E-2</c:v>
                </c:pt>
                <c:pt idx="43">
                  <c:v>1.1049723756906077E-2</c:v>
                </c:pt>
                <c:pt idx="44">
                  <c:v>5.4237288135593219E-2</c:v>
                </c:pt>
                <c:pt idx="45">
                  <c:v>-8.1871345029239772E-3</c:v>
                </c:pt>
                <c:pt idx="46">
                  <c:v>1.7412935323383085E-2</c:v>
                </c:pt>
                <c:pt idx="48">
                  <c:v>2.2727272727272728E-2</c:v>
                </c:pt>
                <c:pt idx="50">
                  <c:v>1.4940239043824702E-2</c:v>
                </c:pt>
                <c:pt idx="52">
                  <c:v>1.7738359201773836E-2</c:v>
                </c:pt>
                <c:pt idx="53">
                  <c:v>-2.9023746701846966E-2</c:v>
                </c:pt>
                <c:pt idx="57">
                  <c:v>-0.27011494252873564</c:v>
                </c:pt>
                <c:pt idx="59">
                  <c:v>-3.3269162476870454E-3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BE8-164A-935C-C4DF1019A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5400928"/>
        <c:axId val="515414656"/>
      </c:scatterChart>
      <c:valAx>
        <c:axId val="515400928"/>
        <c:scaling>
          <c:orientation val="minMax"/>
          <c:max val="8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>
                    <a:solidFill>
                      <a:schemeClr val="tx1"/>
                    </a:solidFill>
                  </a:rPr>
                  <a:t>Total</a:t>
                </a:r>
                <a:r>
                  <a:rPr lang="en-US" sz="1800" baseline="0">
                    <a:solidFill>
                      <a:schemeClr val="tx1"/>
                    </a:solidFill>
                  </a:rPr>
                  <a:t> Enrolment</a:t>
                </a:r>
                <a:endParaRPr lang="en-US" sz="1800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none"/>
        <c:minorTickMark val="none"/>
        <c:tickLblPos val="low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5414656"/>
        <c:crosses val="autoZero"/>
        <c:crossBetween val="midCat"/>
      </c:valAx>
      <c:valAx>
        <c:axId val="515414656"/>
        <c:scaling>
          <c:orientation val="minMax"/>
          <c:max val="0.2"/>
          <c:min val="-0.1500000000000000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>
                    <a:solidFill>
                      <a:schemeClr val="tx1"/>
                    </a:solidFill>
                  </a:rPr>
                  <a:t>Percentage</a:t>
                </a:r>
                <a:r>
                  <a:rPr lang="en-US" sz="1800" baseline="0">
                    <a:solidFill>
                      <a:schemeClr val="tx1"/>
                    </a:solidFill>
                  </a:rPr>
                  <a:t> Change in FI Enrolment Compared to Previous Year</a:t>
                </a:r>
                <a:endParaRPr lang="en-US" sz="1800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54009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2. Percentage Change in FI Enrolment (2016/17 - 2021/22, 6 years) vs Total Enrolment (2021/22). Outliers removed.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Figure 2. Percentage Change in FI Enrolment (2013/14 - 2018/19, 6 years) vs Total Enrolment (2018/19). Outliers removed.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4.4844766756962799E-2"/>
                  <c:y val="8.519269776876267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SD 20 Kootenay-Columbia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B60E-E248-9DDE-BC08E9AD5E54}"/>
                </c:ext>
              </c:extLst>
            </c:dLbl>
            <c:dLbl>
              <c:idx val="13"/>
              <c:layout>
                <c:manualLayout>
                  <c:x val="-3.907303574930527E-2"/>
                  <c:y val="-2.371755761767109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SD</a:t>
                    </a:r>
                    <a:r>
                      <a:rPr lang="en-US" baseline="0"/>
                      <a:t> 36 Surrey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B60E-E248-9DDE-BC08E9AD5E54}"/>
                </c:ext>
              </c:extLst>
            </c:dLbl>
            <c:dLbl>
              <c:idx val="44"/>
              <c:layout>
                <c:manualLayout>
                  <c:x val="-2.8909709005178651E-2"/>
                  <c:y val="-8.51926977687627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SD 70 Alberni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B60E-E248-9DDE-BC08E9AD5E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'2021-2022'!$J$4:$J$62</c:f>
              <c:numCache>
                <c:formatCode>#,##0</c:formatCode>
                <c:ptCount val="59"/>
                <c:pt idx="0" formatCode="_-* #,##0_-;\-* #,##0_-;_-* &quot;-&quot;??_-;_-@_-">
                  <c:v>5581</c:v>
                </c:pt>
                <c:pt idx="1">
                  <c:v>3439</c:v>
                </c:pt>
                <c:pt idx="2" formatCode="_-* #,##0_-;\-* #,##0_-;_-* &quot;-&quot;??_-;_-@_-">
                  <c:v>4454</c:v>
                </c:pt>
                <c:pt idx="5">
                  <c:v>4080</c:v>
                </c:pt>
                <c:pt idx="6" formatCode="_-* #,##0_-;\-* #,##0_-;_-* &quot;-&quot;??_-;_-@_-">
                  <c:v>8598</c:v>
                </c:pt>
                <c:pt idx="7">
                  <c:v>23609</c:v>
                </c:pt>
                <c:pt idx="8">
                  <c:v>4479</c:v>
                </c:pt>
                <c:pt idx="9">
                  <c:v>2878</c:v>
                </c:pt>
                <c:pt idx="10">
                  <c:v>13920</c:v>
                </c:pt>
                <c:pt idx="11">
                  <c:v>18965</c:v>
                </c:pt>
                <c:pt idx="12">
                  <c:v>22309</c:v>
                </c:pt>
                <c:pt idx="13">
                  <c:v>72997</c:v>
                </c:pt>
                <c:pt idx="14">
                  <c:v>15990</c:v>
                </c:pt>
                <c:pt idx="15">
                  <c:v>20484</c:v>
                </c:pt>
                <c:pt idx="16">
                  <c:v>48220</c:v>
                </c:pt>
                <c:pt idx="17">
                  <c:v>6573</c:v>
                </c:pt>
                <c:pt idx="18">
                  <c:v>24301</c:v>
                </c:pt>
                <c:pt idx="19">
                  <c:v>15303</c:v>
                </c:pt>
                <c:pt idx="20">
                  <c:v>30817</c:v>
                </c:pt>
                <c:pt idx="21">
                  <c:v>15817</c:v>
                </c:pt>
                <c:pt idx="22">
                  <c:v>7165</c:v>
                </c:pt>
                <c:pt idx="24">
                  <c:v>3090</c:v>
                </c:pt>
                <c:pt idx="25">
                  <c:v>5263</c:v>
                </c:pt>
                <c:pt idx="29">
                  <c:v>1767</c:v>
                </c:pt>
                <c:pt idx="30" formatCode="_-* #,##0_-;\-* #,##0_-;_-* &quot;-&quot;??_-;_-@_-">
                  <c:v>2262</c:v>
                </c:pt>
                <c:pt idx="31">
                  <c:v>1854</c:v>
                </c:pt>
                <c:pt idx="32">
                  <c:v>12596</c:v>
                </c:pt>
                <c:pt idx="33">
                  <c:v>1888</c:v>
                </c:pt>
                <c:pt idx="34">
                  <c:v>3579</c:v>
                </c:pt>
                <c:pt idx="35">
                  <c:v>5882</c:v>
                </c:pt>
                <c:pt idx="36">
                  <c:v>19902</c:v>
                </c:pt>
                <c:pt idx="37">
                  <c:v>11700</c:v>
                </c:pt>
                <c:pt idx="38">
                  <c:v>6757</c:v>
                </c:pt>
                <c:pt idx="40">
                  <c:v>5599</c:v>
                </c:pt>
                <c:pt idx="41">
                  <c:v>14421</c:v>
                </c:pt>
                <c:pt idx="42">
                  <c:v>4121</c:v>
                </c:pt>
                <c:pt idx="43">
                  <c:v>3586</c:v>
                </c:pt>
                <c:pt idx="44">
                  <c:v>8031</c:v>
                </c:pt>
                <c:pt idx="45">
                  <c:v>5272</c:v>
                </c:pt>
                <c:pt idx="46">
                  <c:v>14871</c:v>
                </c:pt>
                <c:pt idx="48">
                  <c:v>6263</c:v>
                </c:pt>
                <c:pt idx="50">
                  <c:v>7857</c:v>
                </c:pt>
                <c:pt idx="52">
                  <c:v>3949</c:v>
                </c:pt>
                <c:pt idx="53">
                  <c:v>6560</c:v>
                </c:pt>
                <c:pt idx="57">
                  <c:v>2899</c:v>
                </c:pt>
              </c:numCache>
            </c:numRef>
          </c:xVal>
          <c:yVal>
            <c:numRef>
              <c:f>'2021-2022'!$G$4:$G$61</c:f>
              <c:numCache>
                <c:formatCode>0.00%</c:formatCode>
                <c:ptCount val="58"/>
                <c:pt idx="0">
                  <c:v>0.20116054158607349</c:v>
                </c:pt>
                <c:pt idx="1">
                  <c:v>0.28472222222222221</c:v>
                </c:pt>
                <c:pt idx="2">
                  <c:v>0.15094339622641509</c:v>
                </c:pt>
                <c:pt idx="5">
                  <c:v>0.36842105263157893</c:v>
                </c:pt>
                <c:pt idx="6">
                  <c:v>-8.7412587412587419E-3</c:v>
                </c:pt>
                <c:pt idx="7">
                  <c:v>0.16326530612244897</c:v>
                </c:pt>
                <c:pt idx="8">
                  <c:v>1.6304347826086956E-2</c:v>
                </c:pt>
                <c:pt idx="9">
                  <c:v>-8.6538461538461536E-2</c:v>
                </c:pt>
                <c:pt idx="10">
                  <c:v>0.18668831168831168</c:v>
                </c:pt>
                <c:pt idx="11">
                  <c:v>-0.1291044776119403</c:v>
                </c:pt>
                <c:pt idx="12">
                  <c:v>-9.3385214007782102E-2</c:v>
                </c:pt>
                <c:pt idx="13">
                  <c:v>-9.2207019631171921E-2</c:v>
                </c:pt>
                <c:pt idx="14">
                  <c:v>-6.8338249754178959E-2</c:v>
                </c:pt>
                <c:pt idx="15">
                  <c:v>5.47153024911032E-2</c:v>
                </c:pt>
                <c:pt idx="16">
                  <c:v>-9.2267463578632802E-2</c:v>
                </c:pt>
                <c:pt idx="17">
                  <c:v>-2.7190332326283987E-2</c:v>
                </c:pt>
                <c:pt idx="18">
                  <c:v>-3.0369718309859156E-2</c:v>
                </c:pt>
                <c:pt idx="19">
                  <c:v>5.1625239005736137E-2</c:v>
                </c:pt>
                <c:pt idx="20">
                  <c:v>-3.3585858585858587E-2</c:v>
                </c:pt>
                <c:pt idx="21">
                  <c:v>6.1684460260972719E-2</c:v>
                </c:pt>
                <c:pt idx="22">
                  <c:v>-6.8027210884353739E-3</c:v>
                </c:pt>
                <c:pt idx="24">
                  <c:v>0.6028368794326241</c:v>
                </c:pt>
                <c:pt idx="25">
                  <c:v>0.16396979503775622</c:v>
                </c:pt>
                <c:pt idx="27">
                  <c:v>-1</c:v>
                </c:pt>
                <c:pt idx="29">
                  <c:v>-2.843601895734597E-2</c:v>
                </c:pt>
                <c:pt idx="31">
                  <c:v>-0.1134020618556701</c:v>
                </c:pt>
                <c:pt idx="32">
                  <c:v>9.4480823199251635E-2</c:v>
                </c:pt>
                <c:pt idx="33">
                  <c:v>-4.9261083743842365E-3</c:v>
                </c:pt>
                <c:pt idx="34">
                  <c:v>-0.27642276422764228</c:v>
                </c:pt>
                <c:pt idx="35">
                  <c:v>-2.6109660574412531E-2</c:v>
                </c:pt>
                <c:pt idx="36">
                  <c:v>2.7318098240084056E-2</c:v>
                </c:pt>
                <c:pt idx="37">
                  <c:v>0.21987480438184664</c:v>
                </c:pt>
                <c:pt idx="38">
                  <c:v>7.9241071428571425E-2</c:v>
                </c:pt>
                <c:pt idx="39">
                  <c:v>-1.3986013986013986E-2</c:v>
                </c:pt>
                <c:pt idx="40">
                  <c:v>-5.8823529411764705E-2</c:v>
                </c:pt>
                <c:pt idx="41">
                  <c:v>4.8162230671736375E-2</c:v>
                </c:pt>
                <c:pt idx="42">
                  <c:v>0.19633507853403143</c:v>
                </c:pt>
                <c:pt idx="43">
                  <c:v>5.4755043227665709E-2</c:v>
                </c:pt>
                <c:pt idx="44">
                  <c:v>2.7250206440957887E-2</c:v>
                </c:pt>
                <c:pt idx="45">
                  <c:v>2.7878787878787878E-2</c:v>
                </c:pt>
                <c:pt idx="46">
                  <c:v>1.2376237623762377E-2</c:v>
                </c:pt>
                <c:pt idx="48">
                  <c:v>8.8709677419354843E-2</c:v>
                </c:pt>
                <c:pt idx="50">
                  <c:v>-2.9523809523809525E-2</c:v>
                </c:pt>
                <c:pt idx="52">
                  <c:v>6.25E-2</c:v>
                </c:pt>
                <c:pt idx="53">
                  <c:v>-2.2576361221779549E-2</c:v>
                </c:pt>
                <c:pt idx="57">
                  <c:v>-0.42272727272727273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60E-E248-9DDE-BC08E9AD5E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153168"/>
        <c:axId val="84154848"/>
      </c:scatterChart>
      <c:valAx>
        <c:axId val="84153168"/>
        <c:scaling>
          <c:orientation val="minMax"/>
          <c:max val="8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>
                    <a:solidFill>
                      <a:schemeClr val="tx1"/>
                    </a:solidFill>
                  </a:rPr>
                  <a:t>Total</a:t>
                </a:r>
                <a:r>
                  <a:rPr lang="en-US" sz="1800" baseline="0">
                    <a:solidFill>
                      <a:schemeClr val="tx1"/>
                    </a:solidFill>
                  </a:rPr>
                  <a:t> Enrolment</a:t>
                </a:r>
                <a:endParaRPr lang="en-US" sz="1800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none"/>
        <c:minorTickMark val="none"/>
        <c:tickLblPos val="low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154848"/>
        <c:crosses val="autoZero"/>
        <c:crossBetween val="midCat"/>
      </c:valAx>
      <c:valAx>
        <c:axId val="84154848"/>
        <c:scaling>
          <c:orientation val="minMax"/>
          <c:max val="0.60000000000000009"/>
          <c:min val="-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>
                    <a:solidFill>
                      <a:schemeClr val="tx1"/>
                    </a:solidFill>
                  </a:rPr>
                  <a:t>Percentage</a:t>
                </a:r>
                <a:r>
                  <a:rPr lang="en-US" sz="1800" baseline="0">
                    <a:solidFill>
                      <a:schemeClr val="tx1"/>
                    </a:solidFill>
                  </a:rPr>
                  <a:t> Change in FI Enrolment Compared to 5 Years Ago</a:t>
                </a:r>
                <a:endParaRPr lang="en-US" sz="1800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1531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3. Percentage Change in FI Enrolment (2011/12 - 2021/22, 11 years) vs Total Enrolment (2021/22). Outliers removed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Figure 3. Percentage Change in FI Enrolment (2008/09 - 2018/19, 11 years) vs Total Enrolment (2018/19). Outliers removed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13"/>
              <c:layout>
                <c:manualLayout>
                  <c:x val="-4.2375571753796026E-2"/>
                  <c:y val="-2.561570159995356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SD 36 Surrey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5C7E-F246-A33F-8F73208E6B65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r>
                      <a:rPr lang="en-US"/>
                      <a:t>SD 60 Peace River South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5C7E-F246-A33F-8F73208E6B65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r>
                      <a:rPr lang="en-US"/>
                      <a:t>SD 62 Sooke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5C7E-F246-A33F-8F73208E6B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'2021-2022'!$J$4:$J$62</c:f>
              <c:numCache>
                <c:formatCode>#,##0</c:formatCode>
                <c:ptCount val="59"/>
                <c:pt idx="0" formatCode="_-* #,##0_-;\-* #,##0_-;_-* &quot;-&quot;??_-;_-@_-">
                  <c:v>5581</c:v>
                </c:pt>
                <c:pt idx="1">
                  <c:v>3439</c:v>
                </c:pt>
                <c:pt idx="2" formatCode="_-* #,##0_-;\-* #,##0_-;_-* &quot;-&quot;??_-;_-@_-">
                  <c:v>4454</c:v>
                </c:pt>
                <c:pt idx="5">
                  <c:v>4080</c:v>
                </c:pt>
                <c:pt idx="6" formatCode="_-* #,##0_-;\-* #,##0_-;_-* &quot;-&quot;??_-;_-@_-">
                  <c:v>8598</c:v>
                </c:pt>
                <c:pt idx="7">
                  <c:v>23609</c:v>
                </c:pt>
                <c:pt idx="8">
                  <c:v>4479</c:v>
                </c:pt>
                <c:pt idx="9">
                  <c:v>2878</c:v>
                </c:pt>
                <c:pt idx="10">
                  <c:v>13920</c:v>
                </c:pt>
                <c:pt idx="11">
                  <c:v>18965</c:v>
                </c:pt>
                <c:pt idx="12">
                  <c:v>22309</c:v>
                </c:pt>
                <c:pt idx="13">
                  <c:v>72997</c:v>
                </c:pt>
                <c:pt idx="14">
                  <c:v>15990</c:v>
                </c:pt>
                <c:pt idx="15">
                  <c:v>20484</c:v>
                </c:pt>
                <c:pt idx="16">
                  <c:v>48220</c:v>
                </c:pt>
                <c:pt idx="17">
                  <c:v>6573</c:v>
                </c:pt>
                <c:pt idx="18">
                  <c:v>24301</c:v>
                </c:pt>
                <c:pt idx="19">
                  <c:v>15303</c:v>
                </c:pt>
                <c:pt idx="20">
                  <c:v>30817</c:v>
                </c:pt>
                <c:pt idx="21">
                  <c:v>15817</c:v>
                </c:pt>
                <c:pt idx="22">
                  <c:v>7165</c:v>
                </c:pt>
                <c:pt idx="24">
                  <c:v>3090</c:v>
                </c:pt>
                <c:pt idx="25">
                  <c:v>5263</c:v>
                </c:pt>
                <c:pt idx="29">
                  <c:v>1767</c:v>
                </c:pt>
                <c:pt idx="30" formatCode="_-* #,##0_-;\-* #,##0_-;_-* &quot;-&quot;??_-;_-@_-">
                  <c:v>2262</c:v>
                </c:pt>
                <c:pt idx="31">
                  <c:v>1854</c:v>
                </c:pt>
                <c:pt idx="32">
                  <c:v>12596</c:v>
                </c:pt>
                <c:pt idx="33">
                  <c:v>1888</c:v>
                </c:pt>
                <c:pt idx="34">
                  <c:v>3579</c:v>
                </c:pt>
                <c:pt idx="35">
                  <c:v>5882</c:v>
                </c:pt>
                <c:pt idx="36">
                  <c:v>19902</c:v>
                </c:pt>
                <c:pt idx="37">
                  <c:v>11700</c:v>
                </c:pt>
                <c:pt idx="38">
                  <c:v>6757</c:v>
                </c:pt>
                <c:pt idx="40">
                  <c:v>5599</c:v>
                </c:pt>
                <c:pt idx="41">
                  <c:v>14421</c:v>
                </c:pt>
                <c:pt idx="42">
                  <c:v>4121</c:v>
                </c:pt>
                <c:pt idx="43">
                  <c:v>3586</c:v>
                </c:pt>
                <c:pt idx="44">
                  <c:v>8031</c:v>
                </c:pt>
                <c:pt idx="45">
                  <c:v>5272</c:v>
                </c:pt>
                <c:pt idx="46">
                  <c:v>14871</c:v>
                </c:pt>
                <c:pt idx="48">
                  <c:v>6263</c:v>
                </c:pt>
                <c:pt idx="50">
                  <c:v>7857</c:v>
                </c:pt>
                <c:pt idx="52">
                  <c:v>3949</c:v>
                </c:pt>
                <c:pt idx="53">
                  <c:v>6560</c:v>
                </c:pt>
                <c:pt idx="57">
                  <c:v>2899</c:v>
                </c:pt>
              </c:numCache>
            </c:numRef>
          </c:xVal>
          <c:yVal>
            <c:numRef>
              <c:f>'2021-2022'!$I$4:$I$62</c:f>
              <c:numCache>
                <c:formatCode>0.00%</c:formatCode>
                <c:ptCount val="59"/>
                <c:pt idx="0">
                  <c:v>0.5642317380352645</c:v>
                </c:pt>
                <c:pt idx="1">
                  <c:v>-0.13551401869158877</c:v>
                </c:pt>
                <c:pt idx="2">
                  <c:v>8.9285714285714288E-2</c:v>
                </c:pt>
                <c:pt idx="5">
                  <c:v>1.1162790697674418</c:v>
                </c:pt>
                <c:pt idx="6">
                  <c:v>0.12055335968379446</c:v>
                </c:pt>
                <c:pt idx="7">
                  <c:v>0.34315169366715759</c:v>
                </c:pt>
                <c:pt idx="8">
                  <c:v>0.20645161290322581</c:v>
                </c:pt>
                <c:pt idx="9">
                  <c:v>6.1452513966480445E-2</c:v>
                </c:pt>
                <c:pt idx="10">
                  <c:v>0.60659340659340655</c:v>
                </c:pt>
                <c:pt idx="11">
                  <c:v>-2.9118136439267885E-2</c:v>
                </c:pt>
                <c:pt idx="12">
                  <c:v>1.3778100072516316E-2</c:v>
                </c:pt>
                <c:pt idx="13">
                  <c:v>-1.9280205655526992E-2</c:v>
                </c:pt>
                <c:pt idx="14">
                  <c:v>-4.0020263424518747E-2</c:v>
                </c:pt>
                <c:pt idx="15">
                  <c:v>6.132497761862131E-2</c:v>
                </c:pt>
                <c:pt idx="16">
                  <c:v>1.5037593984962405E-2</c:v>
                </c:pt>
                <c:pt idx="17">
                  <c:v>4.6587215601300108E-2</c:v>
                </c:pt>
                <c:pt idx="18">
                  <c:v>0.10370741482965933</c:v>
                </c:pt>
                <c:pt idx="19">
                  <c:v>0.13636363636363635</c:v>
                </c:pt>
                <c:pt idx="20">
                  <c:v>0.26261959749257668</c:v>
                </c:pt>
                <c:pt idx="21">
                  <c:v>0.12296110414052698</c:v>
                </c:pt>
                <c:pt idx="22">
                  <c:v>0.14317673378076062</c:v>
                </c:pt>
                <c:pt idx="24">
                  <c:v>0</c:v>
                </c:pt>
                <c:pt idx="25">
                  <c:v>1.8620689655172413</c:v>
                </c:pt>
                <c:pt idx="27">
                  <c:v>-1</c:v>
                </c:pt>
                <c:pt idx="29">
                  <c:v>0.26543209876543211</c:v>
                </c:pt>
                <c:pt idx="31">
                  <c:v>4.878048780487805E-2</c:v>
                </c:pt>
                <c:pt idx="32">
                  <c:v>0.42335766423357662</c:v>
                </c:pt>
                <c:pt idx="33">
                  <c:v>0.19526627218934911</c:v>
                </c:pt>
                <c:pt idx="34">
                  <c:v>-0.29921259842519687</c:v>
                </c:pt>
                <c:pt idx="35">
                  <c:v>0.10029498525073746</c:v>
                </c:pt>
                <c:pt idx="36">
                  <c:v>0.18300060496067755</c:v>
                </c:pt>
                <c:pt idx="37">
                  <c:v>0.69272529858849075</c:v>
                </c:pt>
                <c:pt idx="38">
                  <c:v>6.2637362637362637E-2</c:v>
                </c:pt>
                <c:pt idx="39">
                  <c:v>-0.25</c:v>
                </c:pt>
                <c:pt idx="40">
                  <c:v>-5.4652880354505169E-2</c:v>
                </c:pt>
                <c:pt idx="41">
                  <c:v>0.2972549019607843</c:v>
                </c:pt>
                <c:pt idx="42">
                  <c:v>0.23848238482384823</c:v>
                </c:pt>
                <c:pt idx="43">
                  <c:v>1.1049723756906077E-2</c:v>
                </c:pt>
                <c:pt idx="44">
                  <c:v>0.15613382899628253</c:v>
                </c:pt>
                <c:pt idx="45">
                  <c:v>3.7943696450428395E-2</c:v>
                </c:pt>
                <c:pt idx="46">
                  <c:v>0.16193181818181818</c:v>
                </c:pt>
                <c:pt idx="48">
                  <c:v>0.1297071129707113</c:v>
                </c:pt>
                <c:pt idx="50">
                  <c:v>0.25184275184275184</c:v>
                </c:pt>
                <c:pt idx="52">
                  <c:v>0.24728260869565216</c:v>
                </c:pt>
                <c:pt idx="53">
                  <c:v>0.11515151515151516</c:v>
                </c:pt>
                <c:pt idx="57">
                  <c:v>-0.38048780487804879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C7E-F246-A33F-8F73208E6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1433392"/>
        <c:axId val="541435072"/>
      </c:scatterChart>
      <c:valAx>
        <c:axId val="541433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>
                    <a:solidFill>
                      <a:schemeClr val="tx1"/>
                    </a:solidFill>
                  </a:rPr>
                  <a:t>Total</a:t>
                </a:r>
                <a:r>
                  <a:rPr lang="en-US" sz="1800" baseline="0">
                    <a:solidFill>
                      <a:schemeClr val="tx1"/>
                    </a:solidFill>
                  </a:rPr>
                  <a:t> Enrolment</a:t>
                </a:r>
                <a:endParaRPr lang="en-US" sz="1800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none"/>
        <c:minorTickMark val="none"/>
        <c:tickLblPos val="low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435072"/>
        <c:crosses val="autoZero"/>
        <c:crossBetween val="midCat"/>
      </c:valAx>
      <c:valAx>
        <c:axId val="541435072"/>
        <c:scaling>
          <c:orientation val="minMax"/>
          <c:max val="1.2"/>
          <c:min val="-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>
                    <a:solidFill>
                      <a:schemeClr val="tx1"/>
                    </a:solidFill>
                  </a:rPr>
                  <a:t>Percentage</a:t>
                </a:r>
                <a:r>
                  <a:rPr lang="en-US" sz="1800" baseline="0">
                    <a:solidFill>
                      <a:schemeClr val="tx1"/>
                    </a:solidFill>
                  </a:rPr>
                  <a:t> Change in FI Enrolment Compared to 10 Years Ago</a:t>
                </a:r>
                <a:endParaRPr lang="en-US" sz="1800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4333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solidFill>
                  <a:schemeClr val="tx1"/>
                </a:solidFill>
              </a:rPr>
              <a:t>Figure 1. Percentage of Students in FI vs Total Enrolment in BC SDs that Offer FI Between Grade 1</a:t>
            </a:r>
            <a:r>
              <a:rPr lang="en-US" sz="1800" b="1" baseline="0">
                <a:solidFill>
                  <a:schemeClr val="tx1"/>
                </a:solidFill>
              </a:rPr>
              <a:t> and </a:t>
            </a:r>
            <a:r>
              <a:rPr lang="en-US" sz="1800" b="1">
                <a:solidFill>
                  <a:schemeClr val="tx1"/>
                </a:solidFill>
              </a:rPr>
              <a:t>12 (2021/22)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Figure 1. Percentage of Students in FI vs Total Enrolment in BC SDs that Offer FI Between Grade 1-12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Lit>
              <c:formatCode>General</c:formatCode>
              <c:ptCount val="1"/>
              <c:pt idx="0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147D-2340-B711-3955795CC1CD}"/>
            </c:ext>
          </c:extLst>
        </c:ser>
        <c:ser>
          <c:idx val="1"/>
          <c:order val="1"/>
          <c:tx>
            <c:v>Southeast Kootney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'2021-2022'!$J$4</c:f>
              <c:numCache>
                <c:formatCode>_-* #,##0_-;\-* #,##0_-;_-* "-"??_-;_-@_-</c:formatCode>
                <c:ptCount val="1"/>
                <c:pt idx="0">
                  <c:v>5581</c:v>
                </c:pt>
              </c:numCache>
            </c:numRef>
          </c:xVal>
          <c:yVal>
            <c:numRef>
              <c:f>'2021-2022'!$Q$4</c:f>
              <c:numCache>
                <c:formatCode>0.00%</c:formatCode>
                <c:ptCount val="1"/>
                <c:pt idx="0">
                  <c:v>0.11127038165203369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47D-2340-B711-3955795CC1CD}"/>
            </c:ext>
          </c:extLst>
        </c:ser>
        <c:ser>
          <c:idx val="2"/>
          <c:order val="2"/>
          <c:tx>
            <c:v>Vernon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'2021-2022'!$J$10</c:f>
              <c:numCache>
                <c:formatCode>_-* #,##0_-;\-* #,##0_-;_-* "-"??_-;_-@_-</c:formatCode>
                <c:ptCount val="1"/>
                <c:pt idx="0">
                  <c:v>8598</c:v>
                </c:pt>
              </c:numCache>
            </c:numRef>
          </c:xVal>
          <c:yVal>
            <c:numRef>
              <c:f>'2021-2022'!$Q$10</c:f>
              <c:numCache>
                <c:formatCode>0.00%</c:formatCode>
                <c:ptCount val="1"/>
                <c:pt idx="0">
                  <c:v>0.13189113747383113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47D-2340-B711-3955795CC1CD}"/>
            </c:ext>
          </c:extLst>
        </c:ser>
        <c:ser>
          <c:idx val="3"/>
          <c:order val="3"/>
          <c:tx>
            <c:v>Central Okaragan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'2021-2022'!$J$11</c:f>
              <c:numCache>
                <c:formatCode>#,##0</c:formatCode>
                <c:ptCount val="1"/>
                <c:pt idx="0">
                  <c:v>23609</c:v>
                </c:pt>
              </c:numCache>
            </c:numRef>
          </c:xVal>
          <c:yVal>
            <c:numRef>
              <c:f>'2021-2022'!$Q$11</c:f>
              <c:numCache>
                <c:formatCode>0.00%</c:formatCode>
                <c:ptCount val="1"/>
                <c:pt idx="0">
                  <c:v>0.11588800881019951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47D-2340-B711-3955795CC1CD}"/>
            </c:ext>
          </c:extLst>
        </c:ser>
        <c:ser>
          <c:idx val="4"/>
          <c:order val="4"/>
          <c:tx>
            <c:v>Cariboo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'2021-2022'!$J$12</c:f>
              <c:numCache>
                <c:formatCode>#,##0</c:formatCode>
                <c:ptCount val="1"/>
                <c:pt idx="0">
                  <c:v>4479</c:v>
                </c:pt>
              </c:numCache>
            </c:numRef>
          </c:xVal>
          <c:yVal>
            <c:numRef>
              <c:f>'2021-2022'!$Q$12</c:f>
              <c:numCache>
                <c:formatCode>0.00%</c:formatCode>
                <c:ptCount val="1"/>
                <c:pt idx="0">
                  <c:v>8.3500781424425088E-2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47D-2340-B711-3955795CC1CD}"/>
            </c:ext>
          </c:extLst>
        </c:ser>
        <c:ser>
          <c:idx val="5"/>
          <c:order val="5"/>
          <c:tx>
            <c:v>Quesnel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'2021-2022'!$J$13</c:f>
              <c:numCache>
                <c:formatCode>#,##0</c:formatCode>
                <c:ptCount val="1"/>
                <c:pt idx="0">
                  <c:v>2878</c:v>
                </c:pt>
              </c:numCache>
            </c:numRef>
          </c:xVal>
          <c:yVal>
            <c:numRef>
              <c:f>'2021-2022'!$Q$13</c:f>
              <c:numCache>
                <c:formatCode>0.00%</c:formatCode>
                <c:ptCount val="1"/>
                <c:pt idx="0">
                  <c:v>6.6018068102849201E-2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47D-2340-B711-3955795CC1CD}"/>
            </c:ext>
          </c:extLst>
        </c:ser>
        <c:ser>
          <c:idx val="6"/>
          <c:order val="6"/>
          <c:tx>
            <c:v>Chilliwack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'2021-2022'!$J$14</c:f>
              <c:numCache>
                <c:formatCode>#,##0</c:formatCode>
                <c:ptCount val="1"/>
                <c:pt idx="0">
                  <c:v>13920</c:v>
                </c:pt>
              </c:numCache>
            </c:numRef>
          </c:xVal>
          <c:yVal>
            <c:numRef>
              <c:f>'2021-2022'!$Q$14</c:f>
              <c:numCache>
                <c:formatCode>0.00%</c:formatCode>
                <c:ptCount val="1"/>
                <c:pt idx="0">
                  <c:v>5.2514367816091957E-2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47D-2340-B711-3955795CC1CD}"/>
            </c:ext>
          </c:extLst>
        </c:ser>
        <c:ser>
          <c:idx val="7"/>
          <c:order val="7"/>
          <c:tx>
            <c:v>Abbotsford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'2021-2022'!$J$15</c:f>
              <c:numCache>
                <c:formatCode>#,##0</c:formatCode>
                <c:ptCount val="1"/>
                <c:pt idx="0">
                  <c:v>18965</c:v>
                </c:pt>
              </c:numCache>
            </c:numRef>
          </c:xVal>
          <c:yVal>
            <c:numRef>
              <c:f>'2021-2022'!$Q$15</c:f>
              <c:numCache>
                <c:formatCode>0.00%</c:formatCode>
                <c:ptCount val="1"/>
                <c:pt idx="0">
                  <c:v>6.1534405483785921E-2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147D-2340-B711-3955795CC1CD}"/>
            </c:ext>
          </c:extLst>
        </c:ser>
        <c:ser>
          <c:idx val="8"/>
          <c:order val="8"/>
          <c:tx>
            <c:v>Langely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'2021-2022'!$J$16</c:f>
              <c:numCache>
                <c:formatCode>#,##0</c:formatCode>
                <c:ptCount val="1"/>
                <c:pt idx="0">
                  <c:v>22309</c:v>
                </c:pt>
              </c:numCache>
            </c:numRef>
          </c:xVal>
          <c:yVal>
            <c:numRef>
              <c:f>'2021-2022'!$Q$16</c:f>
              <c:numCache>
                <c:formatCode>0.00%</c:formatCode>
                <c:ptCount val="1"/>
                <c:pt idx="0">
                  <c:v>6.2665292034604872E-2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147D-2340-B711-3955795CC1CD}"/>
            </c:ext>
          </c:extLst>
        </c:ser>
        <c:ser>
          <c:idx val="9"/>
          <c:order val="9"/>
          <c:tx>
            <c:v>Surrey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dPt>
            <c:idx val="0"/>
            <c:marker>
              <c:symbol val="diamond"/>
              <c:size val="10"/>
              <c:spPr>
                <a:solidFill>
                  <a:schemeClr val="accent4">
                    <a:lumMod val="60000"/>
                  </a:schemeClr>
                </a:solidFill>
                <a:ln w="9525">
                  <a:solidFill>
                    <a:schemeClr val="accent4">
                      <a:lumMod val="60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147D-2340-B711-3955795CC1CD}"/>
              </c:ext>
            </c:extLst>
          </c:dPt>
          <c:xVal>
            <c:numRef>
              <c:f>'2021-2022'!$J$17</c:f>
              <c:numCache>
                <c:formatCode>#,##0</c:formatCode>
                <c:ptCount val="1"/>
                <c:pt idx="0">
                  <c:v>72997</c:v>
                </c:pt>
              </c:numCache>
            </c:numRef>
          </c:xVal>
          <c:yVal>
            <c:numRef>
              <c:f>'2021-2022'!$Q$17</c:f>
              <c:numCache>
                <c:formatCode>0.00%</c:formatCode>
                <c:ptCount val="1"/>
                <c:pt idx="0">
                  <c:v>4.1809937394687455E-2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147D-2340-B711-3955795CC1CD}"/>
            </c:ext>
          </c:extLst>
        </c:ser>
        <c:ser>
          <c:idx val="10"/>
          <c:order val="10"/>
          <c:tx>
            <c:v>Delta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xVal>
            <c:numRef>
              <c:f>'2021-2022'!$J$18</c:f>
              <c:numCache>
                <c:formatCode>#,##0</c:formatCode>
                <c:ptCount val="1"/>
                <c:pt idx="0">
                  <c:v>15990</c:v>
                </c:pt>
              </c:numCache>
            </c:numRef>
          </c:xVal>
          <c:yVal>
            <c:numRef>
              <c:f>'2021-2022'!$Q$18</c:f>
              <c:numCache>
                <c:formatCode>0.00%</c:formatCode>
                <c:ptCount val="1"/>
                <c:pt idx="0">
                  <c:v>0.11851156973108193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147D-2340-B711-3955795CC1CD}"/>
            </c:ext>
          </c:extLst>
        </c:ser>
        <c:ser>
          <c:idx val="11"/>
          <c:order val="11"/>
          <c:tx>
            <c:v>Richmond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xVal>
            <c:numRef>
              <c:f>'2021-2022'!$J$19</c:f>
              <c:numCache>
                <c:formatCode>#,##0</c:formatCode>
                <c:ptCount val="1"/>
                <c:pt idx="0">
                  <c:v>20484</c:v>
                </c:pt>
              </c:numCache>
            </c:numRef>
          </c:xVal>
          <c:yVal>
            <c:numRef>
              <c:f>'2021-2022'!$Q$19</c:f>
              <c:numCache>
                <c:formatCode>0.00%</c:formatCode>
                <c:ptCount val="1"/>
                <c:pt idx="0">
                  <c:v>0.11574887717242727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147D-2340-B711-3955795CC1CD}"/>
            </c:ext>
          </c:extLst>
        </c:ser>
        <c:ser>
          <c:idx val="12"/>
          <c:order val="12"/>
          <c:tx>
            <c:v>Vancouver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'2021-2022'!$J$20</c:f>
              <c:numCache>
                <c:formatCode>#,##0</c:formatCode>
                <c:ptCount val="1"/>
                <c:pt idx="0">
                  <c:v>48220</c:v>
                </c:pt>
              </c:numCache>
            </c:numRef>
          </c:xVal>
          <c:yVal>
            <c:numRef>
              <c:f>'2021-2022'!$Q$20</c:f>
              <c:numCache>
                <c:formatCode>0.00%</c:formatCode>
                <c:ptCount val="1"/>
                <c:pt idx="0">
                  <c:v>0.10078805474906678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147D-2340-B711-3955795CC1CD}"/>
            </c:ext>
          </c:extLst>
        </c:ser>
        <c:ser>
          <c:idx val="13"/>
          <c:order val="13"/>
          <c:tx>
            <c:v>New Westminster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'2021-2022'!$J$21</c:f>
              <c:numCache>
                <c:formatCode>#,##0</c:formatCode>
                <c:ptCount val="1"/>
                <c:pt idx="0">
                  <c:v>6573</c:v>
                </c:pt>
              </c:numCache>
            </c:numRef>
          </c:xVal>
          <c:yVal>
            <c:numRef>
              <c:f>'2021-2022'!$Q$21</c:f>
              <c:numCache>
                <c:formatCode>0.00%</c:formatCode>
                <c:ptCount val="1"/>
                <c:pt idx="0">
                  <c:v>0.14696485623003194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147D-2340-B711-3955795CC1CD}"/>
            </c:ext>
          </c:extLst>
        </c:ser>
        <c:ser>
          <c:idx val="14"/>
          <c:order val="14"/>
          <c:tx>
            <c:v>Burnaby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'2021-2022'!$J$22</c:f>
              <c:numCache>
                <c:formatCode>#,##0</c:formatCode>
                <c:ptCount val="1"/>
                <c:pt idx="0">
                  <c:v>24301</c:v>
                </c:pt>
              </c:numCache>
            </c:numRef>
          </c:xVal>
          <c:yVal>
            <c:numRef>
              <c:f>'2021-2022'!$Q$22</c:f>
              <c:numCache>
                <c:formatCode>0.00%</c:formatCode>
                <c:ptCount val="1"/>
                <c:pt idx="0">
                  <c:v>9.0654705567672106E-2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147D-2340-B711-3955795CC1CD}"/>
            </c:ext>
          </c:extLst>
        </c:ser>
        <c:ser>
          <c:idx val="15"/>
          <c:order val="15"/>
          <c:tx>
            <c:v>Maple Ridge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'2021-2022'!$J$23</c:f>
              <c:numCache>
                <c:formatCode>#,##0</c:formatCode>
                <c:ptCount val="1"/>
                <c:pt idx="0">
                  <c:v>15303</c:v>
                </c:pt>
              </c:numCache>
            </c:numRef>
          </c:xVal>
          <c:yVal>
            <c:numRef>
              <c:f>'2021-2022'!$Q$23</c:f>
              <c:numCache>
                <c:formatCode>0.00%</c:formatCode>
                <c:ptCount val="1"/>
                <c:pt idx="0">
                  <c:v>0.10782199568712017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147D-2340-B711-3955795CC1CD}"/>
            </c:ext>
          </c:extLst>
        </c:ser>
        <c:ser>
          <c:idx val="16"/>
          <c:order val="16"/>
          <c:tx>
            <c:v>Coquitlam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'2021-2022'!$J$24</c:f>
              <c:numCache>
                <c:formatCode>#,##0</c:formatCode>
                <c:ptCount val="1"/>
                <c:pt idx="0">
                  <c:v>30817</c:v>
                </c:pt>
              </c:numCache>
            </c:numRef>
          </c:xVal>
          <c:yVal>
            <c:numRef>
              <c:f>'2021-2022'!$Q$24</c:f>
              <c:numCache>
                <c:formatCode>0.00%</c:formatCode>
                <c:ptCount val="1"/>
                <c:pt idx="0">
                  <c:v>0.12418470324820716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147D-2340-B711-3955795CC1CD}"/>
            </c:ext>
          </c:extLst>
        </c:ser>
        <c:ser>
          <c:idx val="17"/>
          <c:order val="17"/>
          <c:tx>
            <c:v>North Vancouver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'2021-2022'!$J$25</c:f>
              <c:numCache>
                <c:formatCode>#,##0</c:formatCode>
                <c:ptCount val="1"/>
                <c:pt idx="0">
                  <c:v>15817</c:v>
                </c:pt>
              </c:numCache>
            </c:numRef>
          </c:xVal>
          <c:yVal>
            <c:numRef>
              <c:f>'2021-2022'!$Q$25</c:f>
              <c:numCache>
                <c:formatCode>0.00%</c:formatCode>
                <c:ptCount val="1"/>
                <c:pt idx="0">
                  <c:v>0.1697540620850983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147D-2340-B711-3955795CC1CD}"/>
            </c:ext>
          </c:extLst>
        </c:ser>
        <c:ser>
          <c:idx val="18"/>
          <c:order val="18"/>
          <c:tx>
            <c:v>West Vancouver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'2021-2022'!$J$26</c:f>
              <c:numCache>
                <c:formatCode>#,##0</c:formatCode>
                <c:ptCount val="1"/>
                <c:pt idx="0">
                  <c:v>7165</c:v>
                </c:pt>
              </c:numCache>
            </c:numRef>
          </c:xVal>
          <c:yVal>
            <c:numRef>
              <c:f>'2021-2022'!$Q$26</c:f>
              <c:numCache>
                <c:formatCode>0.00%</c:formatCode>
                <c:ptCount val="1"/>
                <c:pt idx="0">
                  <c:v>0.14263782274947662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147D-2340-B711-3955795CC1CD}"/>
            </c:ext>
          </c:extLst>
        </c:ser>
        <c:ser>
          <c:idx val="19"/>
          <c:order val="19"/>
          <c:tx>
            <c:v>Prince Rupert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'2021-2022'!$J$33</c:f>
              <c:numCache>
                <c:formatCode>#,##0</c:formatCode>
                <c:ptCount val="1"/>
                <c:pt idx="0">
                  <c:v>1767</c:v>
                </c:pt>
              </c:numCache>
            </c:numRef>
          </c:xVal>
          <c:yVal>
            <c:numRef>
              <c:f>'2021-2022'!$Q$33</c:f>
              <c:numCache>
                <c:formatCode>0.00%</c:formatCode>
                <c:ptCount val="1"/>
                <c:pt idx="0">
                  <c:v>0.11601584606677985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147D-2340-B711-3955795CC1CD}"/>
            </c:ext>
          </c:extLst>
        </c:ser>
        <c:ser>
          <c:idx val="20"/>
          <c:order val="20"/>
          <c:tx>
            <c:v>Prince George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'2021-2022'!$J$36</c:f>
              <c:numCache>
                <c:formatCode>#,##0</c:formatCode>
                <c:ptCount val="1"/>
                <c:pt idx="0">
                  <c:v>12596</c:v>
                </c:pt>
              </c:numCache>
            </c:numRef>
          </c:xVal>
          <c:yVal>
            <c:numRef>
              <c:f>'2021-2022'!$Q$36</c:f>
              <c:numCache>
                <c:formatCode>0.00%</c:formatCode>
                <c:ptCount val="1"/>
                <c:pt idx="0">
                  <c:v>9.2886630676405207E-2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147D-2340-B711-3955795CC1CD}"/>
            </c:ext>
          </c:extLst>
        </c:ser>
        <c:ser>
          <c:idx val="21"/>
          <c:order val="21"/>
          <c:tx>
            <c:v>Peace River South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'2021-2022'!$J$38</c:f>
              <c:numCache>
                <c:formatCode>#,##0</c:formatCode>
                <c:ptCount val="1"/>
                <c:pt idx="0">
                  <c:v>3579</c:v>
                </c:pt>
              </c:numCache>
            </c:numRef>
          </c:xVal>
          <c:yVal>
            <c:numRef>
              <c:f>'2021-2022'!$Q$38</c:f>
              <c:numCache>
                <c:formatCode>0.00%</c:formatCode>
                <c:ptCount val="1"/>
                <c:pt idx="0">
                  <c:v>7.4601844090528086E-2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147D-2340-B711-3955795CC1CD}"/>
            </c:ext>
          </c:extLst>
        </c:ser>
        <c:ser>
          <c:idx val="22"/>
          <c:order val="22"/>
          <c:tx>
            <c:v>Peace River North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'2021-2022'!$J$39</c:f>
              <c:numCache>
                <c:formatCode>#,##0</c:formatCode>
                <c:ptCount val="1"/>
                <c:pt idx="0">
                  <c:v>5882</c:v>
                </c:pt>
              </c:numCache>
            </c:numRef>
          </c:xVal>
          <c:yVal>
            <c:numRef>
              <c:f>'2021-2022'!$Q$39</c:f>
              <c:numCache>
                <c:formatCode>0.00%</c:formatCode>
                <c:ptCount val="1"/>
                <c:pt idx="0">
                  <c:v>6.3413804828289691E-2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147D-2340-B711-3955795CC1CD}"/>
            </c:ext>
          </c:extLst>
        </c:ser>
        <c:ser>
          <c:idx val="23"/>
          <c:order val="23"/>
          <c:tx>
            <c:v>Greater Victoria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'2021-2022'!$J$40</c:f>
              <c:numCache>
                <c:formatCode>#,##0</c:formatCode>
                <c:ptCount val="1"/>
                <c:pt idx="0">
                  <c:v>19902</c:v>
                </c:pt>
              </c:numCache>
            </c:numRef>
          </c:xVal>
          <c:yVal>
            <c:numRef>
              <c:f>'2021-2022'!$Q$40</c:f>
              <c:numCache>
                <c:formatCode>0.00%</c:formatCode>
                <c:ptCount val="1"/>
                <c:pt idx="0">
                  <c:v>0.19651291327504775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147D-2340-B711-3955795CC1CD}"/>
            </c:ext>
          </c:extLst>
        </c:ser>
        <c:ser>
          <c:idx val="24"/>
          <c:order val="24"/>
          <c:tx>
            <c:v>Sooke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'2021-2022'!$J$41</c:f>
              <c:numCache>
                <c:formatCode>#,##0</c:formatCode>
                <c:ptCount val="1"/>
                <c:pt idx="0">
                  <c:v>11700</c:v>
                </c:pt>
              </c:numCache>
            </c:numRef>
          </c:xVal>
          <c:yVal>
            <c:numRef>
              <c:f>'2021-2022'!$Q$41</c:f>
              <c:numCache>
                <c:formatCode>0.00%</c:formatCode>
                <c:ptCount val="1"/>
                <c:pt idx="0">
                  <c:v>0.13324786324786325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147D-2340-B711-3955795CC1CD}"/>
            </c:ext>
          </c:extLst>
        </c:ser>
        <c:ser>
          <c:idx val="25"/>
          <c:order val="25"/>
          <c:tx>
            <c:v>Nanaimo-L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'2021-2022'!$J$45</c:f>
              <c:numCache>
                <c:formatCode>#,##0</c:formatCode>
                <c:ptCount val="1"/>
                <c:pt idx="0">
                  <c:v>14421</c:v>
                </c:pt>
              </c:numCache>
            </c:numRef>
          </c:xVal>
          <c:yVal>
            <c:numRef>
              <c:f>'2021-2022'!$Q$45</c:f>
              <c:numCache>
                <c:formatCode>0.00%</c:formatCode>
                <c:ptCount val="1"/>
                <c:pt idx="0">
                  <c:v>0.11469384924762499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147D-2340-B711-3955795CC1CD}"/>
            </c:ext>
          </c:extLst>
        </c:ser>
        <c:ser>
          <c:idx val="26"/>
          <c:order val="26"/>
          <c:tx>
            <c:v>Qualicum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'2021-2022'!$J$46</c:f>
              <c:numCache>
                <c:formatCode>#,##0</c:formatCode>
                <c:ptCount val="1"/>
                <c:pt idx="0">
                  <c:v>4121</c:v>
                </c:pt>
              </c:numCache>
            </c:numRef>
          </c:xVal>
          <c:yVal>
            <c:numRef>
              <c:f>'2021-2022'!$Q$46</c:f>
              <c:numCache>
                <c:formatCode>0.00%</c:formatCode>
                <c:ptCount val="1"/>
                <c:pt idx="0">
                  <c:v>0.11089541373453045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147D-2340-B711-3955795CC1CD}"/>
            </c:ext>
          </c:extLst>
        </c:ser>
        <c:ser>
          <c:idx val="27"/>
          <c:order val="27"/>
          <c:tx>
            <c:v>Alberni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'2021-2022'!$J$47</c:f>
              <c:numCache>
                <c:formatCode>#,##0</c:formatCode>
                <c:ptCount val="1"/>
                <c:pt idx="0">
                  <c:v>3586</c:v>
                </c:pt>
              </c:numCache>
            </c:numRef>
          </c:xVal>
          <c:yVal>
            <c:numRef>
              <c:f>'2021-2022'!$Q$47</c:f>
              <c:numCache>
                <c:formatCode>0.00%</c:formatCode>
                <c:ptCount val="1"/>
                <c:pt idx="0">
                  <c:v>0.10206358059118795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147D-2340-B711-3955795CC1CD}"/>
            </c:ext>
          </c:extLst>
        </c:ser>
        <c:ser>
          <c:idx val="28"/>
          <c:order val="28"/>
          <c:tx>
            <c:v>Comox Valley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'2021-2022'!$J$48</c:f>
              <c:numCache>
                <c:formatCode>#,##0</c:formatCode>
                <c:ptCount val="1"/>
                <c:pt idx="0">
                  <c:v>8031</c:v>
                </c:pt>
              </c:numCache>
            </c:numRef>
          </c:xVal>
          <c:yVal>
            <c:numRef>
              <c:f>'2021-2022'!$Q$48</c:f>
              <c:numCache>
                <c:formatCode>0.00%</c:formatCode>
                <c:ptCount val="1"/>
                <c:pt idx="0">
                  <c:v>0.15489976341676007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147D-2340-B711-3955795CC1CD}"/>
            </c:ext>
          </c:extLst>
        </c:ser>
        <c:ser>
          <c:idx val="29"/>
          <c:order val="29"/>
          <c:tx>
            <c:v>Campbell River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'2021-2022'!$J$49</c:f>
              <c:numCache>
                <c:formatCode>#,##0</c:formatCode>
                <c:ptCount val="1"/>
                <c:pt idx="0">
                  <c:v>5272</c:v>
                </c:pt>
              </c:numCache>
            </c:numRef>
          </c:xVal>
          <c:yVal>
            <c:numRef>
              <c:f>'2021-2022'!$Q$49</c:f>
              <c:numCache>
                <c:formatCode>0.00%</c:formatCode>
                <c:ptCount val="1"/>
                <c:pt idx="0">
                  <c:v>0.16084977238239756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147D-2340-B711-3955795CC1CD}"/>
            </c:ext>
          </c:extLst>
        </c:ser>
        <c:ser>
          <c:idx val="30"/>
          <c:order val="30"/>
          <c:tx>
            <c:v>Kamloops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'2021-2022'!$J$50</c:f>
              <c:numCache>
                <c:formatCode>#,##0</c:formatCode>
                <c:ptCount val="1"/>
                <c:pt idx="0">
                  <c:v>14871</c:v>
                </c:pt>
              </c:numCache>
            </c:numRef>
          </c:xVal>
          <c:yVal>
            <c:numRef>
              <c:f>'2021-2022'!$Q$50</c:f>
              <c:numCache>
                <c:formatCode>0.00%</c:formatCode>
                <c:ptCount val="1"/>
                <c:pt idx="0">
                  <c:v>8.2509582408714949E-2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147D-2340-B711-3955795CC1CD}"/>
            </c:ext>
          </c:extLst>
        </c:ser>
        <c:ser>
          <c:idx val="31"/>
          <c:order val="31"/>
          <c:tx>
            <c:v>Mission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'2021-2022'!$J$52</c:f>
              <c:numCache>
                <c:formatCode>#,##0</c:formatCode>
                <c:ptCount val="1"/>
                <c:pt idx="0">
                  <c:v>6263</c:v>
                </c:pt>
              </c:numCache>
            </c:numRef>
          </c:xVal>
          <c:yVal>
            <c:numRef>
              <c:f>'2021-2022'!$Q$52</c:f>
              <c:numCache>
                <c:formatCode>0.00%</c:formatCode>
                <c:ptCount val="1"/>
                <c:pt idx="0">
                  <c:v>8.6220661025067855E-2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147D-2340-B711-3955795CC1CD}"/>
            </c:ext>
          </c:extLst>
        </c:ser>
        <c:ser>
          <c:idx val="32"/>
          <c:order val="32"/>
          <c:tx>
            <c:v>Cowichan Valley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chemeClr val="accent3">
                  <a:lumMod val="50000"/>
                </a:schemeClr>
              </a:solidFill>
              <a:ln w="9525">
                <a:solidFill>
                  <a:schemeClr val="accent3">
                    <a:lumMod val="50000"/>
                  </a:schemeClr>
                </a:solidFill>
              </a:ln>
              <a:effectLst/>
            </c:spPr>
          </c:marker>
          <c:xVal>
            <c:numRef>
              <c:f>'2021-2022'!$J$54</c:f>
              <c:numCache>
                <c:formatCode>#,##0</c:formatCode>
                <c:ptCount val="1"/>
                <c:pt idx="0">
                  <c:v>7857</c:v>
                </c:pt>
              </c:numCache>
            </c:numRef>
          </c:xVal>
          <c:yVal>
            <c:numRef>
              <c:f>'2021-2022'!$Q$54</c:f>
              <c:numCache>
                <c:formatCode>0.00%</c:formatCode>
                <c:ptCount val="1"/>
                <c:pt idx="0">
                  <c:v>0.12969326715031182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147D-2340-B711-3955795CC1CD}"/>
            </c:ext>
          </c:extLst>
        </c:ser>
        <c:ser>
          <c:idx val="33"/>
          <c:order val="33"/>
          <c:tx>
            <c:v>Coast Mount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xVal>
            <c:numRef>
              <c:f>'2021-2022'!$J$56</c:f>
              <c:numCache>
                <c:formatCode>#,##0</c:formatCode>
                <c:ptCount val="1"/>
                <c:pt idx="0">
                  <c:v>3949</c:v>
                </c:pt>
              </c:numCache>
            </c:numRef>
          </c:xVal>
          <c:yVal>
            <c:numRef>
              <c:f>'2021-2022'!$Q$56</c:f>
              <c:numCache>
                <c:formatCode>0.00%</c:formatCode>
                <c:ptCount val="1"/>
                <c:pt idx="0">
                  <c:v>0.1162319574575842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147D-2340-B711-3955795CC1CD}"/>
            </c:ext>
          </c:extLst>
        </c:ser>
        <c:ser>
          <c:idx val="34"/>
          <c:order val="34"/>
          <c:tx>
            <c:v>North Okanagan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chemeClr val="accent5">
                  <a:lumMod val="50000"/>
                </a:schemeClr>
              </a:solidFill>
              <a:ln w="9525">
                <a:solidFill>
                  <a:schemeClr val="accent5">
                    <a:lumMod val="50000"/>
                  </a:schemeClr>
                </a:solidFill>
              </a:ln>
              <a:effectLst/>
            </c:spPr>
          </c:marker>
          <c:xVal>
            <c:numRef>
              <c:f>'2021-2022'!$J$57</c:f>
              <c:numCache>
                <c:formatCode>#,##0</c:formatCode>
                <c:ptCount val="1"/>
                <c:pt idx="0">
                  <c:v>6560</c:v>
                </c:pt>
              </c:numCache>
            </c:numRef>
          </c:xVal>
          <c:yVal>
            <c:numRef>
              <c:f>'2021-2022'!$Q$57</c:f>
              <c:numCache>
                <c:formatCode>0.00%</c:formatCode>
                <c:ptCount val="1"/>
                <c:pt idx="0">
                  <c:v>0.11219512195121951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147D-2340-B711-3955795CC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209168"/>
        <c:axId val="466799008"/>
      </c:scatterChart>
      <c:valAx>
        <c:axId val="86209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>
                    <a:solidFill>
                      <a:schemeClr val="tx1"/>
                    </a:solidFill>
                  </a:rPr>
                  <a:t>Total</a:t>
                </a:r>
                <a:r>
                  <a:rPr lang="en-US" sz="1800" baseline="0">
                    <a:solidFill>
                      <a:schemeClr val="tx1"/>
                    </a:solidFill>
                  </a:rPr>
                  <a:t> Enrolment</a:t>
                </a:r>
                <a:endParaRPr lang="en-US" sz="1800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799008"/>
        <c:crosses val="autoZero"/>
        <c:crossBetween val="midCat"/>
        <c:majorUnit val="20000"/>
      </c:valAx>
      <c:valAx>
        <c:axId val="466799008"/>
        <c:scaling>
          <c:orientation val="minMax"/>
          <c:max val="0.2"/>
          <c:min val="4.0000000000000008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>
                    <a:solidFill>
                      <a:schemeClr val="tx1"/>
                    </a:solidFill>
                  </a:rPr>
                  <a:t>%</a:t>
                </a:r>
                <a:r>
                  <a:rPr lang="en-US" sz="1800" baseline="0">
                    <a:solidFill>
                      <a:schemeClr val="tx1"/>
                    </a:solidFill>
                  </a:rPr>
                  <a:t> of Students in FI</a:t>
                </a:r>
                <a:endParaRPr lang="en-US" sz="1800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2091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solidFill>
                  <a:schemeClr val="tx1"/>
                </a:solidFill>
              </a:rPr>
              <a:t>Figure</a:t>
            </a:r>
            <a:r>
              <a:rPr lang="en-US" sz="1800" b="1" baseline="0">
                <a:solidFill>
                  <a:schemeClr val="tx1"/>
                </a:solidFill>
              </a:rPr>
              <a:t> 1. Percentage of Students in FI vs Total enrolment in BC SDs that Offer FI Between Grade 1 and 12 (2021/22)</a:t>
            </a:r>
            <a:endParaRPr lang="en-US" sz="18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1.3872112728642862E-2"/>
                  <c:y val="-4.0802445962059833E-3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Nechako Lakes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39FB-BB4D-9F31-C32379BA2B03}"/>
                </c:ext>
              </c:extLst>
            </c:dLbl>
            <c:dLbl>
              <c:idx val="1"/>
              <c:layout>
                <c:manualLayout>
                  <c:x val="6.4321162883700989E-4"/>
                  <c:y val="2.2441345279132868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Greater</a:t>
                    </a:r>
                    <a:r>
                      <a:rPr lang="en-US" b="1" baseline="0"/>
                      <a:t> Victoria</a:t>
                    </a:r>
                    <a:endParaRPr lang="en-US" b="1"/>
                  </a:p>
                </c:rich>
              </c:tx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39FB-BB4D-9F31-C32379BA2B03}"/>
                </c:ext>
              </c:extLst>
            </c:dLbl>
            <c:dLbl>
              <c:idx val="22"/>
              <c:layout>
                <c:manualLayout>
                  <c:x val="2.4820947861686576E-2"/>
                  <c:y val="2.711157455682999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>
                        <a:solidFill>
                          <a:schemeClr val="tx1"/>
                        </a:solidFill>
                      </a:rPr>
                      <a:t>Greater Victoria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2-A8C3-6946-8B93-3B8D4C6DCC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50800" cap="rnd">
                <a:solidFill>
                  <a:srgbClr val="C00000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('2021-2022'!$J$61,'2021-2022'!$J$40)</c:f>
              <c:numCache>
                <c:formatCode>#,##0</c:formatCode>
                <c:ptCount val="2"/>
                <c:pt idx="0">
                  <c:v>2899</c:v>
                </c:pt>
                <c:pt idx="1">
                  <c:v>19902</c:v>
                </c:pt>
              </c:numCache>
            </c:numRef>
          </c:xVal>
          <c:yVal>
            <c:numRef>
              <c:f>('2021-2022'!$Q$61,'2021-2022'!$Q$40)</c:f>
              <c:numCache>
                <c:formatCode>0.00%</c:formatCode>
                <c:ptCount val="2"/>
                <c:pt idx="0">
                  <c:v>4.3808209727492241E-2</c:v>
                </c:pt>
                <c:pt idx="1">
                  <c:v>0.19651291327504775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A8C3-6946-8B93-3B8D4C6DCC05}"/>
            </c:ext>
          </c:extLst>
        </c:ser>
        <c:ser>
          <c:idx val="2"/>
          <c:order val="1"/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trendline>
            <c:spPr>
              <a:ln w="50800" cap="rnd">
                <a:solidFill>
                  <a:schemeClr val="accent3"/>
                </a:solidFill>
                <a:prstDash val="solid"/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('2021-2022'!$J$61,'2021-2022'!$J$20,'2021-2022'!$J$17)</c:f>
              <c:numCache>
                <c:formatCode>#,##0</c:formatCode>
                <c:ptCount val="3"/>
                <c:pt idx="0">
                  <c:v>2899</c:v>
                </c:pt>
                <c:pt idx="1">
                  <c:v>48220</c:v>
                </c:pt>
                <c:pt idx="2">
                  <c:v>72997</c:v>
                </c:pt>
              </c:numCache>
            </c:numRef>
          </c:xVal>
          <c:yVal>
            <c:numRef>
              <c:f>('2021-2022'!$Q$61,'2021-2022'!$Q$20,'2021-2022'!$Q$17)</c:f>
              <c:numCache>
                <c:formatCode>0.00%</c:formatCode>
                <c:ptCount val="3"/>
                <c:pt idx="0">
                  <c:v>4.3808209727492241E-2</c:v>
                </c:pt>
                <c:pt idx="1">
                  <c:v>0.10078805474906678</c:v>
                </c:pt>
                <c:pt idx="2">
                  <c:v>4.1809937394687455E-2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A8C3-6946-8B93-3B8D4C6DCC05}"/>
            </c:ext>
          </c:extLst>
        </c:ser>
        <c:ser>
          <c:idx val="0"/>
          <c:order val="2"/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'2021-2022'!$J$4:$J$62</c:f>
              <c:numCache>
                <c:formatCode>#,##0</c:formatCode>
                <c:ptCount val="59"/>
                <c:pt idx="0" formatCode="_-* #,##0_-;\-* #,##0_-;_-* &quot;-&quot;??_-;_-@_-">
                  <c:v>5581</c:v>
                </c:pt>
                <c:pt idx="1">
                  <c:v>3439</c:v>
                </c:pt>
                <c:pt idx="2" formatCode="_-* #,##0_-;\-* #,##0_-;_-* &quot;-&quot;??_-;_-@_-">
                  <c:v>4454</c:v>
                </c:pt>
                <c:pt idx="5">
                  <c:v>4080</c:v>
                </c:pt>
                <c:pt idx="6" formatCode="_-* #,##0_-;\-* #,##0_-;_-* &quot;-&quot;??_-;_-@_-">
                  <c:v>8598</c:v>
                </c:pt>
                <c:pt idx="7">
                  <c:v>23609</c:v>
                </c:pt>
                <c:pt idx="8">
                  <c:v>4479</c:v>
                </c:pt>
                <c:pt idx="9">
                  <c:v>2878</c:v>
                </c:pt>
                <c:pt idx="10">
                  <c:v>13920</c:v>
                </c:pt>
                <c:pt idx="11">
                  <c:v>18965</c:v>
                </c:pt>
                <c:pt idx="12">
                  <c:v>22309</c:v>
                </c:pt>
                <c:pt idx="13">
                  <c:v>72997</c:v>
                </c:pt>
                <c:pt idx="14">
                  <c:v>15990</c:v>
                </c:pt>
                <c:pt idx="15">
                  <c:v>20484</c:v>
                </c:pt>
                <c:pt idx="16">
                  <c:v>48220</c:v>
                </c:pt>
                <c:pt idx="17">
                  <c:v>6573</c:v>
                </c:pt>
                <c:pt idx="18">
                  <c:v>24301</c:v>
                </c:pt>
                <c:pt idx="19">
                  <c:v>15303</c:v>
                </c:pt>
                <c:pt idx="20">
                  <c:v>30817</c:v>
                </c:pt>
                <c:pt idx="21">
                  <c:v>15817</c:v>
                </c:pt>
                <c:pt idx="22">
                  <c:v>7165</c:v>
                </c:pt>
                <c:pt idx="24">
                  <c:v>3090</c:v>
                </c:pt>
                <c:pt idx="25">
                  <c:v>5263</c:v>
                </c:pt>
                <c:pt idx="29">
                  <c:v>1767</c:v>
                </c:pt>
                <c:pt idx="30" formatCode="_-* #,##0_-;\-* #,##0_-;_-* &quot;-&quot;??_-;_-@_-">
                  <c:v>2262</c:v>
                </c:pt>
                <c:pt idx="31">
                  <c:v>1854</c:v>
                </c:pt>
                <c:pt idx="32">
                  <c:v>12596</c:v>
                </c:pt>
                <c:pt idx="33">
                  <c:v>1888</c:v>
                </c:pt>
                <c:pt idx="34">
                  <c:v>3579</c:v>
                </c:pt>
                <c:pt idx="35">
                  <c:v>5882</c:v>
                </c:pt>
                <c:pt idx="36">
                  <c:v>19902</c:v>
                </c:pt>
                <c:pt idx="37">
                  <c:v>11700</c:v>
                </c:pt>
                <c:pt idx="38">
                  <c:v>6757</c:v>
                </c:pt>
                <c:pt idx="40">
                  <c:v>5599</c:v>
                </c:pt>
                <c:pt idx="41">
                  <c:v>14421</c:v>
                </c:pt>
                <c:pt idx="42">
                  <c:v>4121</c:v>
                </c:pt>
                <c:pt idx="43">
                  <c:v>3586</c:v>
                </c:pt>
                <c:pt idx="44">
                  <c:v>8031</c:v>
                </c:pt>
                <c:pt idx="45">
                  <c:v>5272</c:v>
                </c:pt>
                <c:pt idx="46">
                  <c:v>14871</c:v>
                </c:pt>
                <c:pt idx="48">
                  <c:v>6263</c:v>
                </c:pt>
                <c:pt idx="50">
                  <c:v>7857</c:v>
                </c:pt>
                <c:pt idx="52">
                  <c:v>3949</c:v>
                </c:pt>
                <c:pt idx="53">
                  <c:v>6560</c:v>
                </c:pt>
                <c:pt idx="57">
                  <c:v>2899</c:v>
                </c:pt>
              </c:numCache>
            </c:numRef>
          </c:xVal>
          <c:yVal>
            <c:numRef>
              <c:f>'2021-2022'!$Q$4:$Q$62</c:f>
              <c:numCache>
                <c:formatCode>0.00%</c:formatCode>
                <c:ptCount val="59"/>
                <c:pt idx="0">
                  <c:v>0.11127038165203369</c:v>
                </c:pt>
                <c:pt idx="1">
                  <c:v>5.3794707763884848E-2</c:v>
                </c:pt>
                <c:pt idx="2">
                  <c:v>6.8477772788504712E-2</c:v>
                </c:pt>
                <c:pt idx="5">
                  <c:v>8.9215686274509806E-2</c:v>
                </c:pt>
                <c:pt idx="6">
                  <c:v>0.13189113747383113</c:v>
                </c:pt>
                <c:pt idx="7">
                  <c:v>0.11588800881019951</c:v>
                </c:pt>
                <c:pt idx="8">
                  <c:v>8.3500781424425088E-2</c:v>
                </c:pt>
                <c:pt idx="9">
                  <c:v>6.6018068102849201E-2</c:v>
                </c:pt>
                <c:pt idx="10">
                  <c:v>5.2514367816091957E-2</c:v>
                </c:pt>
                <c:pt idx="11">
                  <c:v>6.1534405483785921E-2</c:v>
                </c:pt>
                <c:pt idx="12">
                  <c:v>6.2665292034604872E-2</c:v>
                </c:pt>
                <c:pt idx="13">
                  <c:v>4.1809937394687455E-2</c:v>
                </c:pt>
                <c:pt idx="14">
                  <c:v>0.11851156973108193</c:v>
                </c:pt>
                <c:pt idx="15">
                  <c:v>0.11574887717242727</c:v>
                </c:pt>
                <c:pt idx="16">
                  <c:v>0.10078805474906678</c:v>
                </c:pt>
                <c:pt idx="17">
                  <c:v>0.14696485623003194</c:v>
                </c:pt>
                <c:pt idx="18">
                  <c:v>9.0654705567672106E-2</c:v>
                </c:pt>
                <c:pt idx="19">
                  <c:v>0.10782199568712017</c:v>
                </c:pt>
                <c:pt idx="20">
                  <c:v>0.12418470324820716</c:v>
                </c:pt>
                <c:pt idx="21">
                  <c:v>0.1697540620850983</c:v>
                </c:pt>
                <c:pt idx="22">
                  <c:v>0.14263782274947662</c:v>
                </c:pt>
                <c:pt idx="24">
                  <c:v>7.3139158576051785E-2</c:v>
                </c:pt>
                <c:pt idx="25">
                  <c:v>0.20501615048451455</c:v>
                </c:pt>
                <c:pt idx="27">
                  <c:v>0</c:v>
                </c:pt>
                <c:pt idx="29">
                  <c:v>0.11601584606677985</c:v>
                </c:pt>
                <c:pt idx="30">
                  <c:v>0</c:v>
                </c:pt>
                <c:pt idx="31">
                  <c:v>9.2772384034519956E-2</c:v>
                </c:pt>
                <c:pt idx="32">
                  <c:v>9.2886630676405207E-2</c:v>
                </c:pt>
                <c:pt idx="33">
                  <c:v>0.10699152542372882</c:v>
                </c:pt>
                <c:pt idx="34">
                  <c:v>7.4601844090528086E-2</c:v>
                </c:pt>
                <c:pt idx="35">
                  <c:v>6.3413804828289691E-2</c:v>
                </c:pt>
                <c:pt idx="36">
                  <c:v>0.19651291327504775</c:v>
                </c:pt>
                <c:pt idx="37">
                  <c:v>0.13324786324786325</c:v>
                </c:pt>
                <c:pt idx="38">
                  <c:v>0.14311084800947166</c:v>
                </c:pt>
                <c:pt idx="39">
                  <c:v>0</c:v>
                </c:pt>
                <c:pt idx="40">
                  <c:v>0.11430612609394535</c:v>
                </c:pt>
                <c:pt idx="41">
                  <c:v>0.11469384924762499</c:v>
                </c:pt>
                <c:pt idx="42">
                  <c:v>0.11089541373453045</c:v>
                </c:pt>
                <c:pt idx="43">
                  <c:v>0.10206358059118795</c:v>
                </c:pt>
                <c:pt idx="44">
                  <c:v>0.15489976341676007</c:v>
                </c:pt>
                <c:pt idx="45">
                  <c:v>0.16084977238239756</c:v>
                </c:pt>
                <c:pt idx="46">
                  <c:v>8.2509582408714949E-2</c:v>
                </c:pt>
                <c:pt idx="48">
                  <c:v>8.6220661025067855E-2</c:v>
                </c:pt>
                <c:pt idx="50">
                  <c:v>0.12969326715031182</c:v>
                </c:pt>
                <c:pt idx="52">
                  <c:v>0.1162319574575842</c:v>
                </c:pt>
                <c:pt idx="53">
                  <c:v>0.11219512195121951</c:v>
                </c:pt>
                <c:pt idx="57">
                  <c:v>4.3808209727492241E-2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A8D-024D-863B-3EA3BC171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0985136"/>
        <c:axId val="88803040"/>
      </c:scatterChart>
      <c:valAx>
        <c:axId val="540985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>
                    <a:solidFill>
                      <a:schemeClr val="tx1"/>
                    </a:solidFill>
                  </a:rPr>
                  <a:t>Total</a:t>
                </a:r>
                <a:r>
                  <a:rPr lang="en-US" sz="1800" baseline="0">
                    <a:solidFill>
                      <a:schemeClr val="tx1"/>
                    </a:solidFill>
                  </a:rPr>
                  <a:t> Enrolment</a:t>
                </a:r>
                <a:endParaRPr lang="en-US" sz="1800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803040"/>
        <c:crosses val="autoZero"/>
        <c:crossBetween val="midCat"/>
        <c:majorUnit val="20000"/>
      </c:valAx>
      <c:valAx>
        <c:axId val="88803040"/>
        <c:scaling>
          <c:orientation val="minMax"/>
          <c:max val="0.22000000000000003"/>
          <c:min val="4.0000000000000008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>
                    <a:solidFill>
                      <a:schemeClr val="tx1"/>
                    </a:solidFill>
                  </a:rPr>
                  <a:t>%</a:t>
                </a:r>
                <a:r>
                  <a:rPr lang="en-US" sz="1800" baseline="0">
                    <a:solidFill>
                      <a:schemeClr val="tx1"/>
                    </a:solidFill>
                  </a:rPr>
                  <a:t> of Students in FI</a:t>
                </a:r>
                <a:endParaRPr lang="en-US" sz="1800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09851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2000" b="1">
                <a:solidFill>
                  <a:schemeClr val="tx1"/>
                </a:solidFill>
              </a:rPr>
              <a:t>Figure</a:t>
            </a:r>
            <a:r>
              <a:rPr lang="en-US" sz="2000" b="1" baseline="0">
                <a:solidFill>
                  <a:schemeClr val="tx1"/>
                </a:solidFill>
              </a:rPr>
              <a:t> 1. Percentage Change in FI Enrolment vs Percentage Change in Total Enrolment (2017/18 - 2018/19, 2 years). Outliers removed</a:t>
            </a:r>
            <a:endParaRPr lang="en-US" sz="20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% Change FI Enrolment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'2018-2019'!$L$4:$L$63</c:f>
              <c:numCache>
                <c:formatCode>0.00%</c:formatCode>
                <c:ptCount val="60"/>
                <c:pt idx="0">
                  <c:v>1.0183809234669692E-2</c:v>
                </c:pt>
                <c:pt idx="1">
                  <c:v>1.5927601809954752E-2</c:v>
                </c:pt>
                <c:pt idx="2">
                  <c:v>5.4170514004309021E-2</c:v>
                </c:pt>
                <c:pt idx="3">
                  <c:v>-5.0220972278023305E-3</c:v>
                </c:pt>
                <c:pt idx="6">
                  <c:v>3.0318870883429168E-2</c:v>
                </c:pt>
                <c:pt idx="7">
                  <c:v>4.0607959159995356E-3</c:v>
                </c:pt>
                <c:pt idx="8">
                  <c:v>1.6089385474860336E-2</c:v>
                </c:pt>
                <c:pt idx="9">
                  <c:v>1.0008517887563885E-2</c:v>
                </c:pt>
                <c:pt idx="10">
                  <c:v>-2.6926960619320095E-3</c:v>
                </c:pt>
                <c:pt idx="11">
                  <c:v>2.2003813994425701E-3</c:v>
                </c:pt>
                <c:pt idx="12">
                  <c:v>1.6527228866191037E-2</c:v>
                </c:pt>
                <c:pt idx="13">
                  <c:v>1.3429563310798465E-2</c:v>
                </c:pt>
                <c:pt idx="14">
                  <c:v>1.1774889395729713E-2</c:v>
                </c:pt>
                <c:pt idx="15">
                  <c:v>2.1832736976165929E-3</c:v>
                </c:pt>
                <c:pt idx="16">
                  <c:v>5.0347638456005751E-3</c:v>
                </c:pt>
                <c:pt idx="17">
                  <c:v>2.3218915676637901E-3</c:v>
                </c:pt>
                <c:pt idx="18">
                  <c:v>-9.7736625514403298E-3</c:v>
                </c:pt>
                <c:pt idx="19">
                  <c:v>-3.1787143866258537E-3</c:v>
                </c:pt>
                <c:pt idx="20">
                  <c:v>1.4594666312856575E-2</c:v>
                </c:pt>
                <c:pt idx="21">
                  <c:v>4.0112193503634222E-3</c:v>
                </c:pt>
                <c:pt idx="22">
                  <c:v>-2.5009378516943855E-3</c:v>
                </c:pt>
                <c:pt idx="23">
                  <c:v>-1.4980253302464932E-3</c:v>
                </c:pt>
                <c:pt idx="25">
                  <c:v>3.7607612143180785E-2</c:v>
                </c:pt>
                <c:pt idx="26">
                  <c:v>2.476532854004394E-2</c:v>
                </c:pt>
                <c:pt idx="28">
                  <c:v>-0.125</c:v>
                </c:pt>
                <c:pt idx="30">
                  <c:v>-1.0085728693898134E-2</c:v>
                </c:pt>
                <c:pt idx="31">
                  <c:v>3.3347584437793926E-2</c:v>
                </c:pt>
                <c:pt idx="32">
                  <c:v>-8.5728693898134145E-3</c:v>
                </c:pt>
                <c:pt idx="33">
                  <c:v>3.8519637462235651E-3</c:v>
                </c:pt>
                <c:pt idx="34">
                  <c:v>3.2059727711901624E-2</c:v>
                </c:pt>
                <c:pt idx="35">
                  <c:v>2.7809633027522936E-2</c:v>
                </c:pt>
                <c:pt idx="36">
                  <c:v>6.2902972165434813E-3</c:v>
                </c:pt>
                <c:pt idx="37">
                  <c:v>7.1707630680975225E-3</c:v>
                </c:pt>
                <c:pt idx="38">
                  <c:v>3.5578833303232797E-2</c:v>
                </c:pt>
                <c:pt idx="39">
                  <c:v>2.1679895746949413E-2</c:v>
                </c:pt>
                <c:pt idx="40">
                  <c:v>1.6968325791855202E-2</c:v>
                </c:pt>
                <c:pt idx="41">
                  <c:v>7.9214740830032722E-3</c:v>
                </c:pt>
                <c:pt idx="42">
                  <c:v>1.8973214285714284E-2</c:v>
                </c:pt>
                <c:pt idx="43">
                  <c:v>1.7690875232774673E-2</c:v>
                </c:pt>
                <c:pt idx="44">
                  <c:v>-1.5012722646310433E-2</c:v>
                </c:pt>
                <c:pt idx="45">
                  <c:v>3.7953236191121655E-2</c:v>
                </c:pt>
                <c:pt idx="46">
                  <c:v>1.8195460513974863E-2</c:v>
                </c:pt>
                <c:pt idx="47">
                  <c:v>2.4684623252642347E-2</c:v>
                </c:pt>
                <c:pt idx="49">
                  <c:v>-2.6984126984126986E-3</c:v>
                </c:pt>
                <c:pt idx="51">
                  <c:v>3.1394045097794941E-2</c:v>
                </c:pt>
                <c:pt idx="53">
                  <c:v>2.0278236265031831E-2</c:v>
                </c:pt>
                <c:pt idx="54">
                  <c:v>2.7473426001635323E-2</c:v>
                </c:pt>
                <c:pt idx="58">
                  <c:v>5.9880239520958087E-3</c:v>
                </c:pt>
              </c:numCache>
            </c:numRef>
          </c:xVal>
          <c:yVal>
            <c:numRef>
              <c:f>'2018-2019'!$E$4:$E$63</c:f>
              <c:numCache>
                <c:formatCode>0.00%</c:formatCode>
                <c:ptCount val="60"/>
                <c:pt idx="0">
                  <c:v>9.4976349393310518E-3</c:v>
                </c:pt>
                <c:pt idx="1">
                  <c:v>6.0218978102189784E-2</c:v>
                </c:pt>
                <c:pt idx="2">
                  <c:v>0.12587412587412589</c:v>
                </c:pt>
                <c:pt idx="3">
                  <c:v>-3.7037037037037038E-3</c:v>
                </c:pt>
                <c:pt idx="6">
                  <c:v>-0.12784090909090909</c:v>
                </c:pt>
                <c:pt idx="7">
                  <c:v>6.7681895093062603E-3</c:v>
                </c:pt>
                <c:pt idx="8">
                  <c:v>2.410575427682737E-2</c:v>
                </c:pt>
                <c:pt idx="9">
                  <c:v>4.3589743589743588E-2</c:v>
                </c:pt>
                <c:pt idx="10">
                  <c:v>-3.482587064676617E-2</c:v>
                </c:pt>
                <c:pt idx="11">
                  <c:v>6.0509554140127389E-2</c:v>
                </c:pt>
                <c:pt idx="12">
                  <c:v>5.9523809523809521E-3</c:v>
                </c:pt>
                <c:pt idx="13">
                  <c:v>-2.0325203252032522E-3</c:v>
                </c:pt>
                <c:pt idx="14">
                  <c:v>-3.9975399753997536E-3</c:v>
                </c:pt>
                <c:pt idx="15">
                  <c:v>1.9558676028084254E-2</c:v>
                </c:pt>
                <c:pt idx="16">
                  <c:v>4.3159257660768235E-4</c:v>
                </c:pt>
                <c:pt idx="17">
                  <c:v>-9.9750623441396506E-3</c:v>
                </c:pt>
                <c:pt idx="18">
                  <c:v>1.3026052104208416E-2</c:v>
                </c:pt>
                <c:pt idx="19">
                  <c:v>-1.6371681415929203E-2</c:v>
                </c:pt>
                <c:pt idx="20">
                  <c:v>2.3255813953488372E-2</c:v>
                </c:pt>
                <c:pt idx="21">
                  <c:v>-1.9478876802428536E-2</c:v>
                </c:pt>
                <c:pt idx="22">
                  <c:v>1.8407362945178071E-2</c:v>
                </c:pt>
                <c:pt idx="23">
                  <c:v>-1.2500000000000001E-2</c:v>
                </c:pt>
                <c:pt idx="25">
                  <c:v>5.128205128205128E-2</c:v>
                </c:pt>
                <c:pt idx="26">
                  <c:v>5.4316197866149371E-2</c:v>
                </c:pt>
                <c:pt idx="28">
                  <c:v>-0.58333333333333337</c:v>
                </c:pt>
                <c:pt idx="30">
                  <c:v>3.6036036036036036E-2</c:v>
                </c:pt>
                <c:pt idx="31">
                  <c:v>-0.28000000000000003</c:v>
                </c:pt>
                <c:pt idx="32">
                  <c:v>-5.3763440860215058E-3</c:v>
                </c:pt>
                <c:pt idx="33">
                  <c:v>2.3936170212765957E-2</c:v>
                </c:pt>
                <c:pt idx="34">
                  <c:v>3.4482758620689655E-2</c:v>
                </c:pt>
                <c:pt idx="35">
                  <c:v>-9.49367088607595E-2</c:v>
                </c:pt>
                <c:pt idx="36">
                  <c:v>4.6272493573264781E-2</c:v>
                </c:pt>
                <c:pt idx="37">
                  <c:v>6.4649599172485134E-3</c:v>
                </c:pt>
                <c:pt idx="38">
                  <c:v>4.2599277978339352E-2</c:v>
                </c:pt>
                <c:pt idx="39">
                  <c:v>4.3859649122807015E-3</c:v>
                </c:pt>
                <c:pt idx="40">
                  <c:v>0.21428571428571427</c:v>
                </c:pt>
                <c:pt idx="41">
                  <c:v>-6.1162079510703364E-3</c:v>
                </c:pt>
                <c:pt idx="42">
                  <c:v>9.5298602287166457E-3</c:v>
                </c:pt>
                <c:pt idx="43">
                  <c:v>4.5346062052505964E-2</c:v>
                </c:pt>
                <c:pt idx="44">
                  <c:v>3.2258064516129031E-2</c:v>
                </c:pt>
                <c:pt idx="45">
                  <c:v>1.2315270935960592E-2</c:v>
                </c:pt>
                <c:pt idx="46">
                  <c:v>-2.6620370370370371E-2</c:v>
                </c:pt>
                <c:pt idx="47">
                  <c:v>1.4754098360655738E-2</c:v>
                </c:pt>
                <c:pt idx="49">
                  <c:v>5.6451612903225805E-2</c:v>
                </c:pt>
                <c:pt idx="51">
                  <c:v>1.6472868217054265E-2</c:v>
                </c:pt>
                <c:pt idx="53">
                  <c:v>2.6030368763557483E-2</c:v>
                </c:pt>
                <c:pt idx="54">
                  <c:v>-6.0411311053984576E-2</c:v>
                </c:pt>
                <c:pt idx="58">
                  <c:v>3.3175355450236969E-2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2D0-4341-ADE0-A4C58A8FF0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1920176"/>
        <c:axId val="391940416"/>
      </c:scatterChart>
      <c:valAx>
        <c:axId val="391920176"/>
        <c:scaling>
          <c:orientation val="minMax"/>
          <c:max val="4.0000000000000008E-2"/>
          <c:min val="-4.0000000000000008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="1">
                    <a:solidFill>
                      <a:schemeClr val="tx1"/>
                    </a:solidFill>
                  </a:rPr>
                  <a:t>Percentage</a:t>
                </a:r>
                <a:r>
                  <a:rPr lang="en-US" sz="2000" b="1" baseline="0">
                    <a:solidFill>
                      <a:schemeClr val="tx1"/>
                    </a:solidFill>
                  </a:rPr>
                  <a:t> Change in Total Enrolment Compared to Previous Year</a:t>
                </a:r>
                <a:endParaRPr lang="en-US" sz="2000" b="1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1940416"/>
        <c:crosses val="autoZero"/>
        <c:crossBetween val="midCat"/>
      </c:valAx>
      <c:valAx>
        <c:axId val="391940416"/>
        <c:scaling>
          <c:orientation val="minMax"/>
          <c:max val="0.15000000000000002"/>
          <c:min val="-5.000000000000001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="1">
                    <a:solidFill>
                      <a:schemeClr val="tx1"/>
                    </a:solidFill>
                  </a:rPr>
                  <a:t>Percentage</a:t>
                </a:r>
                <a:r>
                  <a:rPr lang="en-US" sz="2000" b="1" baseline="0">
                    <a:solidFill>
                      <a:schemeClr val="tx1"/>
                    </a:solidFill>
                  </a:rPr>
                  <a:t> Change in FI Enrolment Compared to Previous Year</a:t>
                </a:r>
                <a:endParaRPr lang="en-US" sz="2000" b="1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low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192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2000" b="1">
                <a:solidFill>
                  <a:schemeClr val="tx1"/>
                </a:solidFill>
              </a:rPr>
              <a:t>Figure 2. Percentage Change in FI Enrolment vs</a:t>
            </a:r>
            <a:r>
              <a:rPr lang="en-US" sz="2000" b="1" baseline="0">
                <a:solidFill>
                  <a:schemeClr val="tx1"/>
                </a:solidFill>
              </a:rPr>
              <a:t> Percentage Change in Total Enrolment (2013/14 - 2018/19, 6 years). Outliers removed</a:t>
            </a:r>
            <a:endParaRPr lang="en-US" sz="20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% Change FI Enrolment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'2018-2019'!$N$4:$N$63</c:f>
              <c:numCache>
                <c:formatCode>0.00%</c:formatCode>
                <c:ptCount val="60"/>
                <c:pt idx="0">
                  <c:v>1.788781074234683E-2</c:v>
                </c:pt>
                <c:pt idx="1">
                  <c:v>6.7110266159695814E-2</c:v>
                </c:pt>
                <c:pt idx="2">
                  <c:v>0.10412637008381689</c:v>
                </c:pt>
                <c:pt idx="3">
                  <c:v>-5.5311844363913787E-2</c:v>
                </c:pt>
                <c:pt idx="6">
                  <c:v>5.4292591602032626E-2</c:v>
                </c:pt>
                <c:pt idx="7">
                  <c:v>6.4845576473483449E-2</c:v>
                </c:pt>
                <c:pt idx="8">
                  <c:v>6.772178650260649E-2</c:v>
                </c:pt>
                <c:pt idx="9">
                  <c:v>-4.1237113402061855E-2</c:v>
                </c:pt>
                <c:pt idx="10">
                  <c:v>-0.12181387077652638</c:v>
                </c:pt>
                <c:pt idx="11">
                  <c:v>5.1481338976529435E-2</c:v>
                </c:pt>
                <c:pt idx="12">
                  <c:v>3.2478365133979774E-2</c:v>
                </c:pt>
                <c:pt idx="13">
                  <c:v>0.11241476133172884</c:v>
                </c:pt>
                <c:pt idx="14">
                  <c:v>1.8900557607958713E-2</c:v>
                </c:pt>
                <c:pt idx="15">
                  <c:v>3.2425340497313507E-2</c:v>
                </c:pt>
                <c:pt idx="16">
                  <c:v>-3.9017009765714546E-2</c:v>
                </c:pt>
                <c:pt idx="17">
                  <c:v>-6.9931953247033052E-2</c:v>
                </c:pt>
                <c:pt idx="18">
                  <c:v>4.8283961894819262E-3</c:v>
                </c:pt>
                <c:pt idx="19">
                  <c:v>1.7545968032688378E-2</c:v>
                </c:pt>
                <c:pt idx="20">
                  <c:v>4.5886616973261303E-2</c:v>
                </c:pt>
                <c:pt idx="21">
                  <c:v>-6.7430480964315552E-3</c:v>
                </c:pt>
                <c:pt idx="22">
                  <c:v>1.186021437178918E-2</c:v>
                </c:pt>
                <c:pt idx="23">
                  <c:v>2.8186790071518721E-2</c:v>
                </c:pt>
                <c:pt idx="25">
                  <c:v>8.9438629876308282E-2</c:v>
                </c:pt>
                <c:pt idx="26">
                  <c:v>0.14531250000000001</c:v>
                </c:pt>
                <c:pt idx="28">
                  <c:v>-0.22727272727272727</c:v>
                </c:pt>
                <c:pt idx="30">
                  <c:v>-6.6571564431764152E-2</c:v>
                </c:pt>
                <c:pt idx="31">
                  <c:v>-1.0642652476463364E-2</c:v>
                </c:pt>
                <c:pt idx="32">
                  <c:v>-9.9816849816849823E-2</c:v>
                </c:pt>
                <c:pt idx="33">
                  <c:v>2.144174608054104E-2</c:v>
                </c:pt>
                <c:pt idx="34">
                  <c:v>-1.9607843137254902E-2</c:v>
                </c:pt>
                <c:pt idx="35">
                  <c:v>-1.6730663741086123E-2</c:v>
                </c:pt>
                <c:pt idx="36">
                  <c:v>7.9635566053652782E-2</c:v>
                </c:pt>
                <c:pt idx="37">
                  <c:v>4.4410256410256407E-2</c:v>
                </c:pt>
                <c:pt idx="38">
                  <c:v>0.15302634224813996</c:v>
                </c:pt>
                <c:pt idx="39">
                  <c:v>-0.12134488028527764</c:v>
                </c:pt>
                <c:pt idx="40">
                  <c:v>2.3335230506545249E-2</c:v>
                </c:pt>
                <c:pt idx="41">
                  <c:v>-1.8758526603001365E-3</c:v>
                </c:pt>
                <c:pt idx="42">
                  <c:v>5.2828828828828826E-2</c:v>
                </c:pt>
                <c:pt idx="43">
                  <c:v>3.2837231278053387E-2</c:v>
                </c:pt>
                <c:pt idx="44">
                  <c:v>4.0032240730789898E-2</c:v>
                </c:pt>
                <c:pt idx="45">
                  <c:v>6.0106137517305029E-2</c:v>
                </c:pt>
                <c:pt idx="46">
                  <c:v>4.2843419788664745E-2</c:v>
                </c:pt>
                <c:pt idx="47">
                  <c:v>3.9283491251123868E-2</c:v>
                </c:pt>
                <c:pt idx="49">
                  <c:v>4.8914858096828044E-2</c:v>
                </c:pt>
                <c:pt idx="51">
                  <c:v>7.7714136943504292E-2</c:v>
                </c:pt>
                <c:pt idx="53">
                  <c:v>-0.12814829740076566</c:v>
                </c:pt>
                <c:pt idx="54">
                  <c:v>5.472553298640255E-2</c:v>
                </c:pt>
                <c:pt idx="58">
                  <c:v>-3.3248081841432228E-2</c:v>
                </c:pt>
              </c:numCache>
            </c:numRef>
          </c:xVal>
          <c:yVal>
            <c:numRef>
              <c:f>'2018-2019'!$G$4:$G$63</c:f>
              <c:numCache>
                <c:formatCode>0.00%</c:formatCode>
                <c:ptCount val="60"/>
                <c:pt idx="0">
                  <c:v>9.1888940567430383E-2</c:v>
                </c:pt>
                <c:pt idx="1">
                  <c:v>0.29977628635346754</c:v>
                </c:pt>
                <c:pt idx="2">
                  <c:v>0.1103448275862069</c:v>
                </c:pt>
                <c:pt idx="3">
                  <c:v>7.4906367041198503E-3</c:v>
                </c:pt>
                <c:pt idx="6">
                  <c:v>0.51980198019801982</c:v>
                </c:pt>
                <c:pt idx="7">
                  <c:v>0.12796208530805686</c:v>
                </c:pt>
                <c:pt idx="8">
                  <c:v>0.20219078046554084</c:v>
                </c:pt>
                <c:pt idx="9">
                  <c:v>0.27586206896551724</c:v>
                </c:pt>
                <c:pt idx="10">
                  <c:v>0</c:v>
                </c:pt>
                <c:pt idx="11">
                  <c:v>0.39330543933054396</c:v>
                </c:pt>
                <c:pt idx="12">
                  <c:v>9.8294069861900896E-2</c:v>
                </c:pt>
                <c:pt idx="13">
                  <c:v>2.7913468248429867E-2</c:v>
                </c:pt>
                <c:pt idx="14">
                  <c:v>-1.6995447647951443E-2</c:v>
                </c:pt>
                <c:pt idx="15">
                  <c:v>3.4550839091806516E-3</c:v>
                </c:pt>
                <c:pt idx="16">
                  <c:v>2.6117751217352811E-2</c:v>
                </c:pt>
                <c:pt idx="17">
                  <c:v>1.7948717948717947E-2</c:v>
                </c:pt>
                <c:pt idx="18">
                  <c:v>3.4800409416581371E-2</c:v>
                </c:pt>
                <c:pt idx="19">
                  <c:v>3.7330844610359307E-2</c:v>
                </c:pt>
                <c:pt idx="20">
                  <c:v>0.1044776119402985</c:v>
                </c:pt>
                <c:pt idx="21">
                  <c:v>0.12152777777777778</c:v>
                </c:pt>
                <c:pt idx="22">
                  <c:v>1.5968063872255488E-2</c:v>
                </c:pt>
                <c:pt idx="23">
                  <c:v>9.4882729211087424E-2</c:v>
                </c:pt>
                <c:pt idx="25">
                  <c:v>1.1578947368421053</c:v>
                </c:pt>
                <c:pt idx="26">
                  <c:v>0</c:v>
                </c:pt>
                <c:pt idx="28">
                  <c:v>-0.875</c:v>
                </c:pt>
                <c:pt idx="30">
                  <c:v>0.30681818181818182</c:v>
                </c:pt>
                <c:pt idx="32">
                  <c:v>-4.145077720207254E-2</c:v>
                </c:pt>
                <c:pt idx="33">
                  <c:v>0.24864864864864866</c:v>
                </c:pt>
                <c:pt idx="34">
                  <c:v>0.1797752808988764</c:v>
                </c:pt>
                <c:pt idx="35">
                  <c:v>-0.27226463104325699</c:v>
                </c:pt>
                <c:pt idx="36">
                  <c:v>0.18658892128279883</c:v>
                </c:pt>
                <c:pt idx="37">
                  <c:v>7.9013030219018579E-2</c:v>
                </c:pt>
                <c:pt idx="38">
                  <c:v>0.40058195926285162</c:v>
                </c:pt>
                <c:pt idx="39">
                  <c:v>2.3463687150837988E-2</c:v>
                </c:pt>
                <c:pt idx="40">
                  <c:v>0</c:v>
                </c:pt>
                <c:pt idx="41">
                  <c:v>-3.8461538461538464E-2</c:v>
                </c:pt>
                <c:pt idx="42">
                  <c:v>0.14646464646464646</c:v>
                </c:pt>
                <c:pt idx="43">
                  <c:v>0.15567282321899736</c:v>
                </c:pt>
                <c:pt idx="44">
                  <c:v>-7.9136690647482008E-2</c:v>
                </c:pt>
                <c:pt idx="45">
                  <c:v>6.5687121866897152E-2</c:v>
                </c:pt>
                <c:pt idx="46">
                  <c:v>5.9808612440191387E-3</c:v>
                </c:pt>
                <c:pt idx="47">
                  <c:v>9.3639575971731448E-2</c:v>
                </c:pt>
                <c:pt idx="49">
                  <c:v>0.10782241014799154</c:v>
                </c:pt>
                <c:pt idx="51">
                  <c:v>0.13038793103448276</c:v>
                </c:pt>
                <c:pt idx="53">
                  <c:v>0.1182033096926714</c:v>
                </c:pt>
                <c:pt idx="54">
                  <c:v>-1.0825439783491205E-2</c:v>
                </c:pt>
                <c:pt idx="58">
                  <c:v>2.8301886792452831E-2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D11-2D43-A851-2FF63F605F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01152"/>
        <c:axId val="540668832"/>
      </c:scatterChart>
      <c:valAx>
        <c:axId val="12601152"/>
        <c:scaling>
          <c:orientation val="minMax"/>
          <c:max val="0.15000000000000002"/>
          <c:min val="-0.1500000000000000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="1">
                    <a:solidFill>
                      <a:schemeClr val="tx1"/>
                    </a:solidFill>
                  </a:rPr>
                  <a:t>Percentage</a:t>
                </a:r>
                <a:r>
                  <a:rPr lang="en-US" sz="2000" b="1" baseline="0">
                    <a:solidFill>
                      <a:schemeClr val="tx1"/>
                    </a:solidFill>
                  </a:rPr>
                  <a:t> Change in Total Enrolment Compared to Five Years Ago</a:t>
                </a:r>
                <a:endParaRPr lang="en-US" sz="2000" b="1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0668832"/>
        <c:crosses val="autoZero"/>
        <c:crossBetween val="midCat"/>
      </c:valAx>
      <c:valAx>
        <c:axId val="540668832"/>
        <c:scaling>
          <c:orientation val="minMax"/>
          <c:max val="0.35000000000000003"/>
          <c:min val="-0.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="1">
                    <a:solidFill>
                      <a:schemeClr val="tx1"/>
                    </a:solidFill>
                  </a:rPr>
                  <a:t>Percentage</a:t>
                </a:r>
                <a:r>
                  <a:rPr lang="en-US" sz="2000" b="1" baseline="0">
                    <a:solidFill>
                      <a:schemeClr val="tx1"/>
                    </a:solidFill>
                  </a:rPr>
                  <a:t> Change in FI Enrolment Compared to Five Years Ago</a:t>
                </a:r>
                <a:endParaRPr lang="en-US" sz="2000" b="1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low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011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2000" b="1">
                <a:solidFill>
                  <a:schemeClr val="tx1"/>
                </a:solidFill>
              </a:rPr>
              <a:t>Figure</a:t>
            </a:r>
            <a:r>
              <a:rPr lang="en-US" sz="2000" b="1" baseline="0">
                <a:solidFill>
                  <a:schemeClr val="tx1"/>
                </a:solidFill>
              </a:rPr>
              <a:t> 3. Percentage Change in FI Enrolment vs Percentage Change in Total Enrolment (2008/09 - 2018/19, 11 years). Outliers Removed</a:t>
            </a:r>
            <a:endParaRPr lang="en-US" sz="20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% Change FI Enrolment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'2018-2019'!$P$4:$P$63</c:f>
              <c:numCache>
                <c:formatCode>0.00%</c:formatCode>
                <c:ptCount val="60"/>
                <c:pt idx="0">
                  <c:v>-1.8122988515664771E-2</c:v>
                </c:pt>
                <c:pt idx="1">
                  <c:v>1.2628540501533466E-2</c:v>
                </c:pt>
                <c:pt idx="2">
                  <c:v>1.9648704971717772E-2</c:v>
                </c:pt>
                <c:pt idx="3">
                  <c:v>-7.7138065958636107E-2</c:v>
                </c:pt>
                <c:pt idx="6">
                  <c:v>-7.8756718859546618E-2</c:v>
                </c:pt>
                <c:pt idx="7">
                  <c:v>-4.3439814303083898E-2</c:v>
                </c:pt>
                <c:pt idx="8">
                  <c:v>4.5912499424943645E-2</c:v>
                </c:pt>
                <c:pt idx="9">
                  <c:v>-0.24558613010975028</c:v>
                </c:pt>
                <c:pt idx="10">
                  <c:v>-0.25702106318956869</c:v>
                </c:pt>
                <c:pt idx="11">
                  <c:v>-3.9364338824901587E-3</c:v>
                </c:pt>
                <c:pt idx="12">
                  <c:v>1.216333622936577E-2</c:v>
                </c:pt>
                <c:pt idx="13">
                  <c:v>0.1223756766327718</c:v>
                </c:pt>
                <c:pt idx="14">
                  <c:v>8.7516429636849649E-2</c:v>
                </c:pt>
                <c:pt idx="15">
                  <c:v>1.8157608037767825E-4</c:v>
                </c:pt>
                <c:pt idx="16">
                  <c:v>-8.968512486427796E-2</c:v>
                </c:pt>
                <c:pt idx="17">
                  <c:v>-0.124685287507815</c:v>
                </c:pt>
                <c:pt idx="18">
                  <c:v>3.5781544256120526E-2</c:v>
                </c:pt>
                <c:pt idx="19">
                  <c:v>-1.4089427107591989E-2</c:v>
                </c:pt>
                <c:pt idx="20">
                  <c:v>-3.9726473461413224E-3</c:v>
                </c:pt>
                <c:pt idx="21">
                  <c:v>4.8074804017252781E-2</c:v>
                </c:pt>
                <c:pt idx="22">
                  <c:v>-5.6924986699769461E-2</c:v>
                </c:pt>
                <c:pt idx="23">
                  <c:v>6.4150943396226415E-2</c:v>
                </c:pt>
                <c:pt idx="25">
                  <c:v>0</c:v>
                </c:pt>
                <c:pt idx="26">
                  <c:v>0.21876484560570073</c:v>
                </c:pt>
                <c:pt idx="28">
                  <c:v>-0.36193029490616624</c:v>
                </c:pt>
                <c:pt idx="30">
                  <c:v>-0.23230348064137663</c:v>
                </c:pt>
                <c:pt idx="31">
                  <c:v>-0.16163718348942074</c:v>
                </c:pt>
                <c:pt idx="32">
                  <c:v>-0.21516966067864271</c:v>
                </c:pt>
                <c:pt idx="33">
                  <c:v>-0.11245409015025042</c:v>
                </c:pt>
                <c:pt idx="34">
                  <c:v>-0.14202263599853962</c:v>
                </c:pt>
                <c:pt idx="35">
                  <c:v>-0.16511411271541687</c:v>
                </c:pt>
                <c:pt idx="36">
                  <c:v>6.4194245800765007E-2</c:v>
                </c:pt>
                <c:pt idx="37">
                  <c:v>-8.1332489163785122E-3</c:v>
                </c:pt>
                <c:pt idx="38">
                  <c:v>0.25388147824185436</c:v>
                </c:pt>
                <c:pt idx="39">
                  <c:v>-5.6867891513560802E-2</c:v>
                </c:pt>
                <c:pt idx="40">
                  <c:v>8.9696969696969692E-2</c:v>
                </c:pt>
                <c:pt idx="41">
                  <c:v>1.2629757785467127E-2</c:v>
                </c:pt>
                <c:pt idx="42">
                  <c:v>-1.5235270324929216E-2</c:v>
                </c:pt>
                <c:pt idx="43">
                  <c:v>-0.1102971102971103</c:v>
                </c:pt>
                <c:pt idx="44">
                  <c:v>-0.10455702058755494</c:v>
                </c:pt>
                <c:pt idx="45">
                  <c:v>1.457436237164624E-2</c:v>
                </c:pt>
                <c:pt idx="46">
                  <c:v>-5.2870354213924269E-2</c:v>
                </c:pt>
                <c:pt idx="47">
                  <c:v>4.747258625300883E-3</c:v>
                </c:pt>
                <c:pt idx="49">
                  <c:v>-6.5307944064266585E-2</c:v>
                </c:pt>
                <c:pt idx="51">
                  <c:v>-6.0165739584515834E-2</c:v>
                </c:pt>
                <c:pt idx="53">
                  <c:v>-0.22021985943413228</c:v>
                </c:pt>
                <c:pt idx="54">
                  <c:v>-0.12626894729523014</c:v>
                </c:pt>
                <c:pt idx="58">
                  <c:v>-0.16015552675430475</c:v>
                </c:pt>
              </c:numCache>
            </c:numRef>
          </c:xVal>
          <c:yVal>
            <c:numRef>
              <c:f>'2018-2019'!$I$4:$I$63</c:f>
              <c:numCache>
                <c:formatCode>0.00%</c:formatCode>
                <c:ptCount val="60"/>
                <c:pt idx="0">
                  <c:v>0.27124829307340964</c:v>
                </c:pt>
                <c:pt idx="1">
                  <c:v>0.65056818181818177</c:v>
                </c:pt>
                <c:pt idx="2">
                  <c:v>-0.26484018264840181</c:v>
                </c:pt>
                <c:pt idx="3">
                  <c:v>-2.5362318840579712E-2</c:v>
                </c:pt>
                <c:pt idx="6">
                  <c:v>0.79532163742690054</c:v>
                </c:pt>
                <c:pt idx="7">
                  <c:v>0.30196936542669583</c:v>
                </c:pt>
                <c:pt idx="8">
                  <c:v>0.46252082176568571</c:v>
                </c:pt>
                <c:pt idx="9">
                  <c:v>0.21492537313432836</c:v>
                </c:pt>
                <c:pt idx="10">
                  <c:v>0</c:v>
                </c:pt>
                <c:pt idx="11">
                  <c:v>0.4050632911392405</c:v>
                </c:pt>
                <c:pt idx="12">
                  <c:v>0.13900589721988205</c:v>
                </c:pt>
                <c:pt idx="13">
                  <c:v>2.0083102493074791E-2</c:v>
                </c:pt>
                <c:pt idx="14">
                  <c:v>0.16093189964157706</c:v>
                </c:pt>
                <c:pt idx="15">
                  <c:v>0.12506917542888765</c:v>
                </c:pt>
                <c:pt idx="16">
                  <c:v>-5.1502145922746783E-3</c:v>
                </c:pt>
                <c:pt idx="17">
                  <c:v>0.1766985864113087</c:v>
                </c:pt>
                <c:pt idx="18">
                  <c:v>0.22843256379100851</c:v>
                </c:pt>
                <c:pt idx="19">
                  <c:v>0.18433670751198722</c:v>
                </c:pt>
                <c:pt idx="20">
                  <c:v>7.5297225891677672E-2</c:v>
                </c:pt>
                <c:pt idx="21">
                  <c:v>0.54730538922155691</c:v>
                </c:pt>
                <c:pt idx="22">
                  <c:v>0.1859273066169618</c:v>
                </c:pt>
                <c:pt idx="23">
                  <c:v>0.19696969696969696</c:v>
                </c:pt>
                <c:pt idx="25">
                  <c:v>0</c:v>
                </c:pt>
                <c:pt idx="26">
                  <c:v>2.3968750000000001</c:v>
                </c:pt>
                <c:pt idx="28">
                  <c:v>-0.6875</c:v>
                </c:pt>
                <c:pt idx="30">
                  <c:v>0.36904761904761907</c:v>
                </c:pt>
                <c:pt idx="32">
                  <c:v>0.20129870129870131</c:v>
                </c:pt>
                <c:pt idx="33">
                  <c:v>0.60863509749303624</c:v>
                </c:pt>
                <c:pt idx="34">
                  <c:v>0.25</c:v>
                </c:pt>
                <c:pt idx="35">
                  <c:v>-0.28678304239401498</c:v>
                </c:pt>
                <c:pt idx="36">
                  <c:v>0</c:v>
                </c:pt>
                <c:pt idx="37">
                  <c:v>0.35373913043478261</c:v>
                </c:pt>
                <c:pt idx="38">
                  <c:v>1.2012195121951219</c:v>
                </c:pt>
                <c:pt idx="39">
                  <c:v>8.0188679245283015E-2</c:v>
                </c:pt>
                <c:pt idx="40">
                  <c:v>0.14093959731543623</c:v>
                </c:pt>
                <c:pt idx="41">
                  <c:v>5.8631921824104233E-2</c:v>
                </c:pt>
                <c:pt idx="42">
                  <c:v>0.34889643463497455</c:v>
                </c:pt>
                <c:pt idx="43">
                  <c:v>1.6241299303944315E-2</c:v>
                </c:pt>
                <c:pt idx="44">
                  <c:v>0.18153846153846154</c:v>
                </c:pt>
                <c:pt idx="45">
                  <c:v>0.4237875288683603</c:v>
                </c:pt>
                <c:pt idx="46">
                  <c:v>8.3762886597938138E-2</c:v>
                </c:pt>
                <c:pt idx="47">
                  <c:v>0.30178759200841221</c:v>
                </c:pt>
                <c:pt idx="49">
                  <c:v>0.19908466819221968</c:v>
                </c:pt>
                <c:pt idx="51">
                  <c:v>0.56101190476190477</c:v>
                </c:pt>
                <c:pt idx="53">
                  <c:v>0.4246987951807229</c:v>
                </c:pt>
                <c:pt idx="54">
                  <c:v>0.56531049250535337</c:v>
                </c:pt>
                <c:pt idx="58">
                  <c:v>-2.6785714285714284E-2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9CC-BA40-A1F3-235C0AF12D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7849856"/>
        <c:axId val="515639968"/>
      </c:scatterChart>
      <c:valAx>
        <c:axId val="537849856"/>
        <c:scaling>
          <c:orientation val="minMax"/>
          <c:max val="0.15000000000000002"/>
          <c:min val="-0.3000000000000000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="1">
                    <a:solidFill>
                      <a:schemeClr val="tx1"/>
                    </a:solidFill>
                  </a:rPr>
                  <a:t>Percentage</a:t>
                </a:r>
                <a:r>
                  <a:rPr lang="en-US" sz="2000" b="1" baseline="0">
                    <a:solidFill>
                      <a:schemeClr val="tx1"/>
                    </a:solidFill>
                  </a:rPr>
                  <a:t> Change in Total Enrolment Compared to Ten Years Ago</a:t>
                </a:r>
                <a:endParaRPr lang="en-US" sz="2000" b="1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5639968"/>
        <c:crosses val="autoZero"/>
        <c:crossBetween val="midCat"/>
        <c:majorUnit val="5.000000000000001E-2"/>
      </c:valAx>
      <c:valAx>
        <c:axId val="515639968"/>
        <c:scaling>
          <c:orientation val="minMax"/>
          <c:max val="0.8"/>
          <c:min val="-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="1">
                    <a:solidFill>
                      <a:schemeClr val="tx1"/>
                    </a:solidFill>
                  </a:rPr>
                  <a:t>Percentage</a:t>
                </a:r>
                <a:r>
                  <a:rPr lang="en-US" sz="2000" b="1" baseline="0">
                    <a:solidFill>
                      <a:schemeClr val="tx1"/>
                    </a:solidFill>
                  </a:rPr>
                  <a:t> Change in FI Enrolment Compared to Ten Years Ago</a:t>
                </a:r>
                <a:endParaRPr lang="en-US" sz="2000" b="1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low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8498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solidFill>
                  <a:schemeClr val="tx1"/>
                </a:solidFill>
              </a:rPr>
              <a:t>Figure 1. Average</a:t>
            </a:r>
            <a:r>
              <a:rPr lang="en-US" sz="1800" b="1" baseline="0">
                <a:solidFill>
                  <a:schemeClr val="tx1"/>
                </a:solidFill>
              </a:rPr>
              <a:t> Grade 1-5 Attrition Rate of 5 Cohorts (Ending in 2013/14 - 2018/19) vs Proportion of Students in FI (2008/09). Outliers removed</a:t>
            </a:r>
            <a:endParaRPr lang="en-US" sz="18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Attrition rate % student in FI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'2018-2019'!$V$4:$V$63</c:f>
              <c:numCache>
                <c:formatCode>0.00%</c:formatCode>
                <c:ptCount val="60"/>
                <c:pt idx="0">
                  <c:v>7.3296116379198778E-2</c:v>
                </c:pt>
                <c:pt idx="1">
                  <c:v>6.3503517950568286E-2</c:v>
                </c:pt>
                <c:pt idx="2">
                  <c:v>6.5197975587972606E-2</c:v>
                </c:pt>
                <c:pt idx="3">
                  <c:v>5.1425377305757407E-2</c:v>
                </c:pt>
                <c:pt idx="6">
                  <c:v>3.9962608086001404E-2</c:v>
                </c:pt>
                <c:pt idx="7">
                  <c:v>0.10102796507129436</c:v>
                </c:pt>
                <c:pt idx="8">
                  <c:v>8.2854119703730966E-2</c:v>
                </c:pt>
                <c:pt idx="9">
                  <c:v>5.3284555431843489E-2</c:v>
                </c:pt>
                <c:pt idx="10">
                  <c:v>0</c:v>
                </c:pt>
                <c:pt idx="11">
                  <c:v>3.4553141857413615E-2</c:v>
                </c:pt>
                <c:pt idx="12">
                  <c:v>6.0663361782593142E-2</c:v>
                </c:pt>
                <c:pt idx="13">
                  <c:v>7.3051044670410278E-2</c:v>
                </c:pt>
                <c:pt idx="14">
                  <c:v>4.1203313986974438E-2</c:v>
                </c:pt>
                <c:pt idx="15">
                  <c:v>0.1093693257474882</c:v>
                </c:pt>
                <c:pt idx="16">
                  <c:v>0.1011943539630836</c:v>
                </c:pt>
                <c:pt idx="17">
                  <c:v>7.4111623662999948E-2</c:v>
                </c:pt>
                <c:pt idx="18">
                  <c:v>0.11070755986010224</c:v>
                </c:pt>
                <c:pt idx="19">
                  <c:v>7.2853594162397145E-2</c:v>
                </c:pt>
                <c:pt idx="20">
                  <c:v>9.8599804623901013E-2</c:v>
                </c:pt>
                <c:pt idx="21">
                  <c:v>7.8865346472310555E-2</c:v>
                </c:pt>
                <c:pt idx="22">
                  <c:v>0.12685464325826093</c:v>
                </c:pt>
                <c:pt idx="23">
                  <c:v>0.12452830188679245</c:v>
                </c:pt>
                <c:pt idx="26">
                  <c:v>7.6009501187648459E-2</c:v>
                </c:pt>
                <c:pt idx="28">
                  <c:v>2.1447721179624665E-2</c:v>
                </c:pt>
                <c:pt idx="30">
                  <c:v>6.5701994524833787E-2</c:v>
                </c:pt>
                <c:pt idx="32">
                  <c:v>6.1477045908183633E-2</c:v>
                </c:pt>
                <c:pt idx="33">
                  <c:v>4.79465776293823E-2</c:v>
                </c:pt>
                <c:pt idx="34">
                  <c:v>6.1336254107338443E-2</c:v>
                </c:pt>
                <c:pt idx="35">
                  <c:v>9.3386120167675821E-2</c:v>
                </c:pt>
                <c:pt idx="36">
                  <c:v>0</c:v>
                </c:pt>
                <c:pt idx="37">
                  <c:v>0.14001850679394146</c:v>
                </c:pt>
                <c:pt idx="38">
                  <c:v>7.1725344412858077E-2</c:v>
                </c:pt>
                <c:pt idx="39">
                  <c:v>9.2738407699037614E-2</c:v>
                </c:pt>
                <c:pt idx="40">
                  <c:v>9.0303030303030302E-2</c:v>
                </c:pt>
                <c:pt idx="41">
                  <c:v>0.10622837370242215</c:v>
                </c:pt>
                <c:pt idx="42">
                  <c:v>7.9412161251179725E-2</c:v>
                </c:pt>
                <c:pt idx="43">
                  <c:v>8.7708587708587707E-2</c:v>
                </c:pt>
                <c:pt idx="44">
                  <c:v>7.5179273652556097E-2</c:v>
                </c:pt>
                <c:pt idx="45">
                  <c:v>9.5616650104891246E-2</c:v>
                </c:pt>
                <c:pt idx="46">
                  <c:v>0.1354039434653638</c:v>
                </c:pt>
                <c:pt idx="47">
                  <c:v>6.3586520460016047E-2</c:v>
                </c:pt>
                <c:pt idx="49">
                  <c:v>6.5010413567390651E-2</c:v>
                </c:pt>
                <c:pt idx="51">
                  <c:v>7.6285616982631393E-2</c:v>
                </c:pt>
                <c:pt idx="53">
                  <c:v>5.9830600108127588E-2</c:v>
                </c:pt>
                <c:pt idx="54">
                  <c:v>6.4942288972326526E-2</c:v>
                </c:pt>
                <c:pt idx="58">
                  <c:v>4.1473801147935564E-2</c:v>
                </c:pt>
              </c:numCache>
            </c:numRef>
          </c:xVal>
          <c:yVal>
            <c:numRef>
              <c:f>'2018-2019'!$Y$4:$Y$63</c:f>
              <c:numCache>
                <c:formatCode>0.00%</c:formatCode>
                <c:ptCount val="60"/>
                <c:pt idx="0">
                  <c:v>0.14560000000000001</c:v>
                </c:pt>
                <c:pt idx="1">
                  <c:v>0.77669999999999995</c:v>
                </c:pt>
                <c:pt idx="7">
                  <c:v>9.0399999999999994E-2</c:v>
                </c:pt>
                <c:pt idx="8">
                  <c:v>0.1326</c:v>
                </c:pt>
                <c:pt idx="9">
                  <c:v>0.1825</c:v>
                </c:pt>
                <c:pt idx="10">
                  <c:v>0.2329</c:v>
                </c:pt>
                <c:pt idx="12">
                  <c:v>0.28270000000000001</c:v>
                </c:pt>
                <c:pt idx="13">
                  <c:v>7.8399999999999997E-2</c:v>
                </c:pt>
                <c:pt idx="14">
                  <c:v>0.15529999999999999</c:v>
                </c:pt>
                <c:pt idx="15">
                  <c:v>0.1197</c:v>
                </c:pt>
                <c:pt idx="16">
                  <c:v>0.16320000000000001</c:v>
                </c:pt>
                <c:pt idx="17">
                  <c:v>0.1736</c:v>
                </c:pt>
                <c:pt idx="18">
                  <c:v>0.2266</c:v>
                </c:pt>
                <c:pt idx="19">
                  <c:v>0.22770000000000001</c:v>
                </c:pt>
                <c:pt idx="20">
                  <c:v>0.15429999999999999</c:v>
                </c:pt>
                <c:pt idx="21">
                  <c:v>0.22559999999999999</c:v>
                </c:pt>
                <c:pt idx="22">
                  <c:v>0.16189999999999999</c:v>
                </c:pt>
                <c:pt idx="23">
                  <c:v>6.13E-2</c:v>
                </c:pt>
                <c:pt idx="30">
                  <c:v>0.23619999999999999</c:v>
                </c:pt>
                <c:pt idx="32">
                  <c:v>0.15290000000000001</c:v>
                </c:pt>
                <c:pt idx="33">
                  <c:v>0.2135</c:v>
                </c:pt>
                <c:pt idx="34">
                  <c:v>0.1608</c:v>
                </c:pt>
                <c:pt idx="35">
                  <c:v>0.43030000000000002</c:v>
                </c:pt>
                <c:pt idx="36">
                  <c:v>0.22220000000000001</c:v>
                </c:pt>
                <c:pt idx="37">
                  <c:v>0.221</c:v>
                </c:pt>
                <c:pt idx="38">
                  <c:v>0.19309999999999999</c:v>
                </c:pt>
                <c:pt idx="39">
                  <c:v>0.12959999999999999</c:v>
                </c:pt>
                <c:pt idx="42">
                  <c:v>0.1484</c:v>
                </c:pt>
                <c:pt idx="43">
                  <c:v>0.13869999999999999</c:v>
                </c:pt>
                <c:pt idx="44">
                  <c:v>0.18429999999999999</c:v>
                </c:pt>
                <c:pt idx="45">
                  <c:v>0.1313</c:v>
                </c:pt>
                <c:pt idx="46">
                  <c:v>0.2636</c:v>
                </c:pt>
                <c:pt idx="47">
                  <c:v>0.1012</c:v>
                </c:pt>
                <c:pt idx="49">
                  <c:v>0.35370000000000001</c:v>
                </c:pt>
                <c:pt idx="51">
                  <c:v>0.1573</c:v>
                </c:pt>
                <c:pt idx="53">
                  <c:v>0.28620000000000001</c:v>
                </c:pt>
                <c:pt idx="54">
                  <c:v>8.9300000000000004E-2</c:v>
                </c:pt>
                <c:pt idx="58">
                  <c:v>0.29459999999999997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02C-6541-B77A-8BD01EC3A4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8556976"/>
        <c:axId val="440795824"/>
      </c:scatterChart>
      <c:valAx>
        <c:axId val="538556976"/>
        <c:scaling>
          <c:orientation val="minMax"/>
          <c:max val="0.16000000000000003"/>
          <c:min val="2.0000000000000004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0">
                    <a:solidFill>
                      <a:schemeClr val="tx1"/>
                    </a:solidFill>
                  </a:rPr>
                  <a:t>Percentag</a:t>
                </a:r>
                <a:r>
                  <a:rPr lang="en-US" sz="1800" b="0" baseline="0">
                    <a:solidFill>
                      <a:schemeClr val="tx1"/>
                    </a:solidFill>
                  </a:rPr>
                  <a:t>e of Students in FI 2008/09</a:t>
                </a:r>
                <a:endParaRPr lang="en-US" sz="1800" b="0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795824"/>
        <c:crosses val="autoZero"/>
        <c:crossBetween val="midCat"/>
      </c:valAx>
      <c:valAx>
        <c:axId val="440795824"/>
        <c:scaling>
          <c:orientation val="minMax"/>
          <c:max val="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0">
                    <a:solidFill>
                      <a:schemeClr val="tx1"/>
                    </a:solidFill>
                  </a:rPr>
                  <a:t>Average</a:t>
                </a:r>
                <a:r>
                  <a:rPr lang="en-US" sz="1800" b="0" baseline="0">
                    <a:solidFill>
                      <a:schemeClr val="tx1"/>
                    </a:solidFill>
                  </a:rPr>
                  <a:t> Grade 1-5 Percentage Attrition of the Past 5 Cohorts</a:t>
                </a:r>
                <a:endParaRPr lang="en-US" sz="1800" b="0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8556976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solidFill>
                  <a:schemeClr val="tx1"/>
                </a:solidFill>
              </a:rPr>
              <a:t>Figure 2. Average Grade 7-12</a:t>
            </a:r>
            <a:r>
              <a:rPr lang="en-US" sz="1800" b="1" baseline="0">
                <a:solidFill>
                  <a:schemeClr val="tx1"/>
                </a:solidFill>
              </a:rPr>
              <a:t> Attrition Rate of 5 Cohorts (Ending 2013/14 - 2018/19) vs Proportion of Student in FI (2008/09). Outliers removed</a:t>
            </a:r>
            <a:endParaRPr lang="en-US" sz="18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Average 7-12 Attrition % Student FI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'2018-2019'!$V$4:$V$63</c:f>
              <c:numCache>
                <c:formatCode>0.00%</c:formatCode>
                <c:ptCount val="60"/>
                <c:pt idx="0">
                  <c:v>7.3296116379198778E-2</c:v>
                </c:pt>
                <c:pt idx="1">
                  <c:v>6.3503517950568286E-2</c:v>
                </c:pt>
                <c:pt idx="2">
                  <c:v>6.5197975587972606E-2</c:v>
                </c:pt>
                <c:pt idx="3">
                  <c:v>5.1425377305757407E-2</c:v>
                </c:pt>
                <c:pt idx="6">
                  <c:v>3.9962608086001404E-2</c:v>
                </c:pt>
                <c:pt idx="7">
                  <c:v>0.10102796507129436</c:v>
                </c:pt>
                <c:pt idx="8">
                  <c:v>8.2854119703730966E-2</c:v>
                </c:pt>
                <c:pt idx="9">
                  <c:v>5.3284555431843489E-2</c:v>
                </c:pt>
                <c:pt idx="10">
                  <c:v>0</c:v>
                </c:pt>
                <c:pt idx="11">
                  <c:v>3.4553141857413615E-2</c:v>
                </c:pt>
                <c:pt idx="12">
                  <c:v>6.0663361782593142E-2</c:v>
                </c:pt>
                <c:pt idx="13">
                  <c:v>7.3051044670410278E-2</c:v>
                </c:pt>
                <c:pt idx="14">
                  <c:v>4.1203313986974438E-2</c:v>
                </c:pt>
                <c:pt idx="15">
                  <c:v>0.1093693257474882</c:v>
                </c:pt>
                <c:pt idx="16">
                  <c:v>0.1011943539630836</c:v>
                </c:pt>
                <c:pt idx="17">
                  <c:v>7.4111623662999948E-2</c:v>
                </c:pt>
                <c:pt idx="18">
                  <c:v>0.11070755986010224</c:v>
                </c:pt>
                <c:pt idx="19">
                  <c:v>7.2853594162397145E-2</c:v>
                </c:pt>
                <c:pt idx="20">
                  <c:v>9.8599804623901013E-2</c:v>
                </c:pt>
                <c:pt idx="21">
                  <c:v>7.8865346472310555E-2</c:v>
                </c:pt>
                <c:pt idx="22">
                  <c:v>0.12685464325826093</c:v>
                </c:pt>
                <c:pt idx="23">
                  <c:v>0.12452830188679245</c:v>
                </c:pt>
                <c:pt idx="26">
                  <c:v>7.6009501187648459E-2</c:v>
                </c:pt>
                <c:pt idx="28">
                  <c:v>2.1447721179624665E-2</c:v>
                </c:pt>
                <c:pt idx="30">
                  <c:v>6.5701994524833787E-2</c:v>
                </c:pt>
                <c:pt idx="32">
                  <c:v>6.1477045908183633E-2</c:v>
                </c:pt>
                <c:pt idx="33">
                  <c:v>4.79465776293823E-2</c:v>
                </c:pt>
                <c:pt idx="34">
                  <c:v>6.1336254107338443E-2</c:v>
                </c:pt>
                <c:pt idx="35">
                  <c:v>9.3386120167675821E-2</c:v>
                </c:pt>
                <c:pt idx="36">
                  <c:v>0</c:v>
                </c:pt>
                <c:pt idx="37">
                  <c:v>0.14001850679394146</c:v>
                </c:pt>
                <c:pt idx="38">
                  <c:v>7.1725344412858077E-2</c:v>
                </c:pt>
                <c:pt idx="39">
                  <c:v>9.2738407699037614E-2</c:v>
                </c:pt>
                <c:pt idx="40">
                  <c:v>9.0303030303030302E-2</c:v>
                </c:pt>
                <c:pt idx="41">
                  <c:v>0.10622837370242215</c:v>
                </c:pt>
                <c:pt idx="42">
                  <c:v>7.9412161251179725E-2</c:v>
                </c:pt>
                <c:pt idx="43">
                  <c:v>8.7708587708587707E-2</c:v>
                </c:pt>
                <c:pt idx="44">
                  <c:v>7.5179273652556097E-2</c:v>
                </c:pt>
                <c:pt idx="45">
                  <c:v>9.5616650104891246E-2</c:v>
                </c:pt>
                <c:pt idx="46">
                  <c:v>0.1354039434653638</c:v>
                </c:pt>
                <c:pt idx="47">
                  <c:v>6.3586520460016047E-2</c:v>
                </c:pt>
                <c:pt idx="49">
                  <c:v>6.5010413567390651E-2</c:v>
                </c:pt>
                <c:pt idx="51">
                  <c:v>7.6285616982631393E-2</c:v>
                </c:pt>
                <c:pt idx="53">
                  <c:v>5.9830600108127588E-2</c:v>
                </c:pt>
                <c:pt idx="54">
                  <c:v>6.4942288972326526E-2</c:v>
                </c:pt>
                <c:pt idx="58">
                  <c:v>4.1473801147935564E-2</c:v>
                </c:pt>
              </c:numCache>
            </c:numRef>
          </c:xVal>
          <c:yVal>
            <c:numRef>
              <c:f>'2018-2019'!$AA$4:$AA$63</c:f>
              <c:numCache>
                <c:formatCode>0.00%</c:formatCode>
                <c:ptCount val="60"/>
                <c:pt idx="0">
                  <c:v>0.39529999999999998</c:v>
                </c:pt>
                <c:pt idx="1">
                  <c:v>0.35859999999999997</c:v>
                </c:pt>
                <c:pt idx="2">
                  <c:v>0.51480000000000004</c:v>
                </c:pt>
                <c:pt idx="3">
                  <c:v>0.50239999999999996</c:v>
                </c:pt>
                <c:pt idx="6">
                  <c:v>0.46579999999999999</c:v>
                </c:pt>
                <c:pt idx="7">
                  <c:v>0.32969999999999999</c:v>
                </c:pt>
                <c:pt idx="8">
                  <c:v>0.29260000000000003</c:v>
                </c:pt>
                <c:pt idx="9">
                  <c:v>0.42330000000000001</c:v>
                </c:pt>
                <c:pt idx="10">
                  <c:v>0.42880000000000001</c:v>
                </c:pt>
                <c:pt idx="11">
                  <c:v>0.33800000000000002</c:v>
                </c:pt>
                <c:pt idx="12">
                  <c:v>0.25480000000000003</c:v>
                </c:pt>
                <c:pt idx="13">
                  <c:v>0.51080000000000003</c:v>
                </c:pt>
                <c:pt idx="14">
                  <c:v>0.28110000000000002</c:v>
                </c:pt>
                <c:pt idx="15">
                  <c:v>0.36749999999999999</c:v>
                </c:pt>
                <c:pt idx="16">
                  <c:v>0.24890000000000001</c:v>
                </c:pt>
                <c:pt idx="17">
                  <c:v>0.47870000000000001</c:v>
                </c:pt>
                <c:pt idx="18">
                  <c:v>0.38059999999999999</c:v>
                </c:pt>
                <c:pt idx="19">
                  <c:v>0.47420000000000001</c:v>
                </c:pt>
                <c:pt idx="20">
                  <c:v>0.52869999999999995</c:v>
                </c:pt>
                <c:pt idx="21">
                  <c:v>0.29370000000000002</c:v>
                </c:pt>
                <c:pt idx="22">
                  <c:v>0.34210000000000002</c:v>
                </c:pt>
                <c:pt idx="23">
                  <c:v>0.38479999999999998</c:v>
                </c:pt>
                <c:pt idx="26">
                  <c:v>0.57999999999999996</c:v>
                </c:pt>
                <c:pt idx="30">
                  <c:v>0</c:v>
                </c:pt>
                <c:pt idx="33">
                  <c:v>0.20730000000000001</c:v>
                </c:pt>
                <c:pt idx="35">
                  <c:v>0.46239999999999998</c:v>
                </c:pt>
                <c:pt idx="36">
                  <c:v>0.47960000000000003</c:v>
                </c:pt>
                <c:pt idx="37">
                  <c:v>0.3856</c:v>
                </c:pt>
                <c:pt idx="38">
                  <c:v>0.24510000000000001</c:v>
                </c:pt>
                <c:pt idx="41">
                  <c:v>0.43</c:v>
                </c:pt>
                <c:pt idx="42">
                  <c:v>0.48220000000000002</c:v>
                </c:pt>
                <c:pt idx="43">
                  <c:v>0.45029999999999998</c:v>
                </c:pt>
                <c:pt idx="44">
                  <c:v>6.1800000000000001E-2</c:v>
                </c:pt>
                <c:pt idx="45">
                  <c:v>0.2591</c:v>
                </c:pt>
                <c:pt idx="46">
                  <c:v>0.3306</c:v>
                </c:pt>
                <c:pt idx="47">
                  <c:v>0.19139999999999999</c:v>
                </c:pt>
                <c:pt idx="49">
                  <c:v>0.54800000000000004</c:v>
                </c:pt>
                <c:pt idx="51">
                  <c:v>0.41420000000000001</c:v>
                </c:pt>
                <c:pt idx="53">
                  <c:v>0.31259999999999999</c:v>
                </c:pt>
                <c:pt idx="54">
                  <c:v>0.27929999999999999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0C3-F447-BDBD-4383731C0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3454832"/>
        <c:axId val="393681200"/>
      </c:scatterChart>
      <c:valAx>
        <c:axId val="283454832"/>
        <c:scaling>
          <c:orientation val="minMax"/>
          <c:min val="2.0000000000000004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>
                    <a:solidFill>
                      <a:schemeClr val="tx1"/>
                    </a:solidFill>
                  </a:rPr>
                  <a:t>Percentage</a:t>
                </a:r>
                <a:r>
                  <a:rPr lang="en-US" sz="1800" baseline="0">
                    <a:solidFill>
                      <a:schemeClr val="tx1"/>
                    </a:solidFill>
                  </a:rPr>
                  <a:t> of Students in FI in 2008/09</a:t>
                </a:r>
                <a:endParaRPr lang="en-US" sz="1800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681200"/>
        <c:crosses val="autoZero"/>
        <c:crossBetween val="midCat"/>
      </c:valAx>
      <c:valAx>
        <c:axId val="393681200"/>
        <c:scaling>
          <c:orientation val="minMax"/>
          <c:min val="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>
                    <a:solidFill>
                      <a:schemeClr val="tx1"/>
                    </a:solidFill>
                  </a:rPr>
                  <a:t>Average</a:t>
                </a:r>
                <a:r>
                  <a:rPr lang="en-US" sz="1800" baseline="0">
                    <a:solidFill>
                      <a:schemeClr val="tx1"/>
                    </a:solidFill>
                  </a:rPr>
                  <a:t> Grade 7-12 Percentage Attrition of the Past 5 Cohorts </a:t>
                </a:r>
                <a:endParaRPr lang="en-US" sz="1800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3454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2000" b="1">
                <a:solidFill>
                  <a:schemeClr val="tx1"/>
                </a:solidFill>
              </a:rPr>
              <a:t>Figure 1. Change</a:t>
            </a:r>
            <a:r>
              <a:rPr lang="en-US" sz="2000" b="1" baseline="0">
                <a:solidFill>
                  <a:schemeClr val="tx1"/>
                </a:solidFill>
              </a:rPr>
              <a:t> in Proportion of Students in FI vs Percentage Change in Total Enrolment for BC SDs (2018/19 - 2019/20, 2 years). Outliers removed</a:t>
            </a:r>
            <a:endParaRPr lang="en-US" sz="20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% Change in FI enrolment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20"/>
            <c:marker>
              <c:symbol val="circle"/>
              <c:size val="10"/>
              <c:spPr>
                <a:solidFill>
                  <a:schemeClr val="accent1"/>
                </a:solidFill>
                <a:ln w="12700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E137-4AA7-925C-C8A7784974F8}"/>
              </c:ext>
            </c:extLst>
          </c:dPt>
          <c:xVal>
            <c:numRef>
              <c:f>'2019-2020'!$L$4:$L$63</c:f>
              <c:numCache>
                <c:formatCode>0.00%</c:formatCode>
                <c:ptCount val="60"/>
                <c:pt idx="0">
                  <c:v>1.2297314872422169E-2</c:v>
                </c:pt>
                <c:pt idx="1">
                  <c:v>1.6746837698200605E-2</c:v>
                </c:pt>
                <c:pt idx="2">
                  <c:v>-2.9197080291970801E-3</c:v>
                </c:pt>
                <c:pt idx="3">
                  <c:v>1.2719563900666263E-2</c:v>
                </c:pt>
                <c:pt idx="6">
                  <c:v>1.0400811770674784E-2</c:v>
                </c:pt>
                <c:pt idx="7">
                  <c:v>1.6177490177952392E-2</c:v>
                </c:pt>
                <c:pt idx="8">
                  <c:v>2.0848911370134154E-2</c:v>
                </c:pt>
                <c:pt idx="9">
                  <c:v>-2.0662028252161079E-2</c:v>
                </c:pt>
                <c:pt idx="10">
                  <c:v>9.7873776577792771E-3</c:v>
                </c:pt>
                <c:pt idx="11">
                  <c:v>5.1229508196721308E-3</c:v>
                </c:pt>
                <c:pt idx="12">
                  <c:v>1.9994950770007573E-2</c:v>
                </c:pt>
                <c:pt idx="13">
                  <c:v>1.1944469485260975E-2</c:v>
                </c:pt>
                <c:pt idx="14">
                  <c:v>2.6697809584595118E-2</c:v>
                </c:pt>
                <c:pt idx="15">
                  <c:v>9.4402420574886542E-3</c:v>
                </c:pt>
                <c:pt idx="16">
                  <c:v>6.3931297709923663E-3</c:v>
                </c:pt>
                <c:pt idx="17">
                  <c:v>-8.3008378054901357E-4</c:v>
                </c:pt>
                <c:pt idx="18">
                  <c:v>6.4935064935064935E-4</c:v>
                </c:pt>
                <c:pt idx="19">
                  <c:v>2.5156489901972362E-2</c:v>
                </c:pt>
                <c:pt idx="20">
                  <c:v>1.3077023669412841E-2</c:v>
                </c:pt>
                <c:pt idx="21">
                  <c:v>3.6046860919194952E-3</c:v>
                </c:pt>
                <c:pt idx="22">
                  <c:v>1.8929422088504452E-2</c:v>
                </c:pt>
                <c:pt idx="23">
                  <c:v>8.0469176213857057E-3</c:v>
                </c:pt>
                <c:pt idx="25">
                  <c:v>0.22183406113537119</c:v>
                </c:pt>
                <c:pt idx="26">
                  <c:v>1.5201715065289417E-2</c:v>
                </c:pt>
                <c:pt idx="28">
                  <c:v>-1.8907563025210083E-2</c:v>
                </c:pt>
                <c:pt idx="30">
                  <c:v>-1.1207335710646969E-2</c:v>
                </c:pt>
                <c:pt idx="31">
                  <c:v>0</c:v>
                </c:pt>
                <c:pt idx="32">
                  <c:v>-8.1383519837232958E-3</c:v>
                </c:pt>
                <c:pt idx="33">
                  <c:v>6.7714995109472581E-4</c:v>
                </c:pt>
                <c:pt idx="34">
                  <c:v>-2.7659574468085105E-2</c:v>
                </c:pt>
                <c:pt idx="35">
                  <c:v>1.7573221757322177E-2</c:v>
                </c:pt>
                <c:pt idx="36">
                  <c:v>1.3127051101734646E-2</c:v>
                </c:pt>
                <c:pt idx="37">
                  <c:v>7.0706078758715502E-3</c:v>
                </c:pt>
                <c:pt idx="38">
                  <c:v>1.9881409138472271E-2</c:v>
                </c:pt>
                <c:pt idx="39">
                  <c:v>4.4410946196660479E-2</c:v>
                </c:pt>
                <c:pt idx="40">
                  <c:v>-0.14126807563959956</c:v>
                </c:pt>
                <c:pt idx="41">
                  <c:v>-1.5035024773620365E-2</c:v>
                </c:pt>
                <c:pt idx="42">
                  <c:v>1.2185104052573932E-2</c:v>
                </c:pt>
                <c:pt idx="43">
                  <c:v>2.7447392497712718E-3</c:v>
                </c:pt>
                <c:pt idx="44">
                  <c:v>-3.3583053474554379E-3</c:v>
                </c:pt>
                <c:pt idx="45">
                  <c:v>4.1571444117967135E-2</c:v>
                </c:pt>
                <c:pt idx="46">
                  <c:v>1.0869565217391304E-2</c:v>
                </c:pt>
                <c:pt idx="47">
                  <c:v>2.0696080388633794E-2</c:v>
                </c:pt>
                <c:pt idx="49">
                  <c:v>1.7666719719879039E-2</c:v>
                </c:pt>
                <c:pt idx="51">
                  <c:v>3.5028385070660709E-3</c:v>
                </c:pt>
                <c:pt idx="53">
                  <c:v>1.1786457129651028E-2</c:v>
                </c:pt>
                <c:pt idx="54">
                  <c:v>1.8144198631227119E-2</c:v>
                </c:pt>
                <c:pt idx="58">
                  <c:v>-3.8800705467372132E-2</c:v>
                </c:pt>
              </c:numCache>
            </c:numRef>
          </c:xVal>
          <c:yVal>
            <c:numRef>
              <c:f>'2019-2020'!$S$4:$S$63</c:f>
              <c:numCache>
                <c:formatCode>0.00%</c:formatCode>
                <c:ptCount val="60"/>
                <c:pt idx="0">
                  <c:v>-4.2187619519401531E-4</c:v>
                </c:pt>
                <c:pt idx="1">
                  <c:v>-1.3544616615830674E-3</c:v>
                </c:pt>
                <c:pt idx="2">
                  <c:v>3.0659071720939152E-3</c:v>
                </c:pt>
                <c:pt idx="3">
                  <c:v>-6.8212972274307032E-4</c:v>
                </c:pt>
                <c:pt idx="6">
                  <c:v>2.4053967056591227E-2</c:v>
                </c:pt>
                <c:pt idx="7">
                  <c:v>-4.3496944862136955E-3</c:v>
                </c:pt>
                <c:pt idx="8">
                  <c:v>1.9856076285521412E-3</c:v>
                </c:pt>
                <c:pt idx="9">
                  <c:v>1.8104296014272575E-3</c:v>
                </c:pt>
                <c:pt idx="10">
                  <c:v>2.3734120101573525E-3</c:v>
                </c:pt>
                <c:pt idx="11">
                  <c:v>1.935933795987943E-3</c:v>
                </c:pt>
                <c:pt idx="12">
                  <c:v>-4.9023896560096147E-3</c:v>
                </c:pt>
                <c:pt idx="13">
                  <c:v>-1.7635830721032253E-3</c:v>
                </c:pt>
                <c:pt idx="14">
                  <c:v>-1.3818425401032133E-3</c:v>
                </c:pt>
                <c:pt idx="15">
                  <c:v>-7.1459271199225682E-5</c:v>
                </c:pt>
                <c:pt idx="16">
                  <c:v>1.6678072054062687E-3</c:v>
                </c:pt>
                <c:pt idx="17">
                  <c:v>1.1840271719201212E-3</c:v>
                </c:pt>
                <c:pt idx="18">
                  <c:v>-2.1498942329573056E-4</c:v>
                </c:pt>
                <c:pt idx="19">
                  <c:v>-2.9540275365623758E-3</c:v>
                </c:pt>
                <c:pt idx="20">
                  <c:v>4.3310994360371002E-4</c:v>
                </c:pt>
                <c:pt idx="21">
                  <c:v>-4.1819105933192657E-4</c:v>
                </c:pt>
                <c:pt idx="22">
                  <c:v>1.2195263770150289E-3</c:v>
                </c:pt>
                <c:pt idx="23">
                  <c:v>1.1819531325716059E-3</c:v>
                </c:pt>
                <c:pt idx="25">
                  <c:v>-1.5656847842033111E-3</c:v>
                </c:pt>
                <c:pt idx="26">
                  <c:v>-2.9802772654961562E-3</c:v>
                </c:pt>
                <c:pt idx="28">
                  <c:v>-1.050420168067227E-2</c:v>
                </c:pt>
                <c:pt idx="30">
                  <c:v>-1.7631699054874855E-3</c:v>
                </c:pt>
                <c:pt idx="31">
                  <c:v>0</c:v>
                </c:pt>
                <c:pt idx="32">
                  <c:v>-4.8689255810313858E-3</c:v>
                </c:pt>
                <c:pt idx="33">
                  <c:v>1.8208941207883966E-3</c:v>
                </c:pt>
                <c:pt idx="34">
                  <c:v>-4.8978071604823398E-3</c:v>
                </c:pt>
                <c:pt idx="35">
                  <c:v>2.6701167143801385E-4</c:v>
                </c:pt>
                <c:pt idx="36">
                  <c:v>-1.132609871726982E-3</c:v>
                </c:pt>
                <c:pt idx="37">
                  <c:v>-6.1037571198890861E-4</c:v>
                </c:pt>
                <c:pt idx="38">
                  <c:v>3.3593745899491989E-3</c:v>
                </c:pt>
                <c:pt idx="39">
                  <c:v>2.2559757170932532E-3</c:v>
                </c:pt>
                <c:pt idx="40">
                  <c:v>4.5437648048781976E-3</c:v>
                </c:pt>
                <c:pt idx="41">
                  <c:v>-4.2024690194530506E-3</c:v>
                </c:pt>
                <c:pt idx="42">
                  <c:v>1.5986656066860616E-3</c:v>
                </c:pt>
                <c:pt idx="43">
                  <c:v>3.6035137337135509E-3</c:v>
                </c:pt>
                <c:pt idx="44">
                  <c:v>3.1854819215715036E-3</c:v>
                </c:pt>
                <c:pt idx="45">
                  <c:v>-4.4151698461449562E-3</c:v>
                </c:pt>
                <c:pt idx="46">
                  <c:v>7.8109523696325844E-3</c:v>
                </c:pt>
                <c:pt idx="47">
                  <c:v>-1.5400800313684071E-3</c:v>
                </c:pt>
                <c:pt idx="49">
                  <c:v>2.7254283183975048E-4</c:v>
                </c:pt>
                <c:pt idx="51">
                  <c:v>-3.0903319203071933E-3</c:v>
                </c:pt>
                <c:pt idx="53">
                  <c:v>1.6959812192040014E-3</c:v>
                </c:pt>
                <c:pt idx="54">
                  <c:v>5.8411611701937594E-4</c:v>
                </c:pt>
                <c:pt idx="58">
                  <c:v>5.6097600440108142E-3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137-4AA7-925C-C8A7784974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3584720"/>
        <c:axId val="463894352"/>
      </c:scatterChart>
      <c:valAx>
        <c:axId val="463584720"/>
        <c:scaling>
          <c:orientation val="minMax"/>
          <c:max val="4.0000000000000008E-2"/>
          <c:min val="-4.0000000000000008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="0">
                    <a:solidFill>
                      <a:schemeClr val="tx1"/>
                    </a:solidFill>
                  </a:rPr>
                  <a:t>Change in Total Enrolment Compared</a:t>
                </a:r>
                <a:r>
                  <a:rPr lang="en-US" sz="2000" b="0" baseline="0">
                    <a:solidFill>
                      <a:schemeClr val="tx1"/>
                    </a:solidFill>
                  </a:rPr>
                  <a:t> to Previous Year</a:t>
                </a:r>
                <a:endParaRPr lang="en-US" sz="2000" b="0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3894352"/>
        <c:crosses val="autoZero"/>
        <c:crossBetween val="midCat"/>
      </c:valAx>
      <c:valAx>
        <c:axId val="463894352"/>
        <c:scaling>
          <c:orientation val="minMax"/>
          <c:min val="-1.000000000000000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="0">
                    <a:solidFill>
                      <a:schemeClr val="tx1"/>
                    </a:solidFill>
                  </a:rPr>
                  <a:t>Change</a:t>
                </a:r>
                <a:r>
                  <a:rPr lang="en-US" sz="2000" b="0" baseline="0">
                    <a:solidFill>
                      <a:schemeClr val="tx1"/>
                    </a:solidFill>
                  </a:rPr>
                  <a:t> in Proportion of Students in FI Compared to Previous Year</a:t>
                </a:r>
                <a:endParaRPr lang="en-US" sz="2000" b="0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low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3584720"/>
        <c:crosses val="autoZero"/>
        <c:crossBetween val="midCat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5" Type="http://schemas.openxmlformats.org/officeDocument/2006/relationships/chart" Target="../charts/chart21.xml"/><Relationship Id="rId4" Type="http://schemas.openxmlformats.org/officeDocument/2006/relationships/chart" Target="../charts/chart20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3" Type="http://schemas.openxmlformats.org/officeDocument/2006/relationships/chart" Target="../charts/chart27.xml"/><Relationship Id="rId7" Type="http://schemas.openxmlformats.org/officeDocument/2006/relationships/chart" Target="../charts/chart31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5" Type="http://schemas.openxmlformats.org/officeDocument/2006/relationships/chart" Target="../charts/chart37.xml"/><Relationship Id="rId4" Type="http://schemas.openxmlformats.org/officeDocument/2006/relationships/chart" Target="../charts/chart3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64</xdr:row>
      <xdr:rowOff>0</xdr:rowOff>
    </xdr:from>
    <xdr:to>
      <xdr:col>12</xdr:col>
      <xdr:colOff>19050</xdr:colOff>
      <xdr:row>95</xdr:row>
      <xdr:rowOff>49530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B921F08-3C14-1743-81C4-3A58179796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12</xdr:col>
      <xdr:colOff>201083</xdr:colOff>
      <xdr:row>128</xdr:row>
      <xdr:rowOff>158750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CD2B653-B856-1541-B65B-2175F60BEA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130</xdr:row>
      <xdr:rowOff>0</xdr:rowOff>
    </xdr:from>
    <xdr:to>
      <xdr:col>12</xdr:col>
      <xdr:colOff>234950</xdr:colOff>
      <xdr:row>161</xdr:row>
      <xdr:rowOff>179070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22821AD-4058-B34D-B255-53676C8BBA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166</xdr:row>
      <xdr:rowOff>0</xdr:rowOff>
    </xdr:from>
    <xdr:to>
      <xdr:col>11</xdr:col>
      <xdr:colOff>539750</xdr:colOff>
      <xdr:row>196</xdr:row>
      <xdr:rowOff>57150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EB9B219-09EC-0242-9EA6-818D13C9C8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198</xdr:row>
      <xdr:rowOff>0</xdr:rowOff>
    </xdr:from>
    <xdr:to>
      <xdr:col>11</xdr:col>
      <xdr:colOff>264583</xdr:colOff>
      <xdr:row>227</xdr:row>
      <xdr:rowOff>82550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008FCC4-E68A-424B-B80A-C85D292929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229</xdr:row>
      <xdr:rowOff>0</xdr:rowOff>
    </xdr:from>
    <xdr:to>
      <xdr:col>11</xdr:col>
      <xdr:colOff>52917</xdr:colOff>
      <xdr:row>257</xdr:row>
      <xdr:rowOff>146050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D0F5011A-7B16-6247-8D72-0BE8D2CE7B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260</xdr:row>
      <xdr:rowOff>0</xdr:rowOff>
    </xdr:from>
    <xdr:to>
      <xdr:col>11</xdr:col>
      <xdr:colOff>709083</xdr:colOff>
      <xdr:row>290</xdr:row>
      <xdr:rowOff>158750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65521719-9C40-7740-A19D-0E8D415B9B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293</xdr:row>
      <xdr:rowOff>0</xdr:rowOff>
    </xdr:from>
    <xdr:to>
      <xdr:col>12</xdr:col>
      <xdr:colOff>6350</xdr:colOff>
      <xdr:row>324</xdr:row>
      <xdr:rowOff>41910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413EF0D5-3607-5745-A96B-466BC5F503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64</xdr:row>
      <xdr:rowOff>0</xdr:rowOff>
    </xdr:from>
    <xdr:to>
      <xdr:col>12</xdr:col>
      <xdr:colOff>19050</xdr:colOff>
      <xdr:row>95</xdr:row>
      <xdr:rowOff>49530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E8DB67B-FC7B-4C3A-A9D5-45BB609009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12</xdr:col>
      <xdr:colOff>201083</xdr:colOff>
      <xdr:row>128</xdr:row>
      <xdr:rowOff>158750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A3CD56E-2D38-43E6-BA18-4B7EDA862E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130</xdr:row>
      <xdr:rowOff>0</xdr:rowOff>
    </xdr:from>
    <xdr:to>
      <xdr:col>12</xdr:col>
      <xdr:colOff>234950</xdr:colOff>
      <xdr:row>161</xdr:row>
      <xdr:rowOff>179070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DED6347-B85D-4C41-9744-D481051A2B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166</xdr:row>
      <xdr:rowOff>0</xdr:rowOff>
    </xdr:from>
    <xdr:to>
      <xdr:col>11</xdr:col>
      <xdr:colOff>539750</xdr:colOff>
      <xdr:row>196</xdr:row>
      <xdr:rowOff>57150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CCEDBDE-4D9F-4BC7-AE0B-D91A475161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198</xdr:row>
      <xdr:rowOff>0</xdr:rowOff>
    </xdr:from>
    <xdr:to>
      <xdr:col>11</xdr:col>
      <xdr:colOff>264583</xdr:colOff>
      <xdr:row>227</xdr:row>
      <xdr:rowOff>82550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84D8A79-6061-4041-85BD-6B99B9A6C0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229</xdr:row>
      <xdr:rowOff>0</xdr:rowOff>
    </xdr:from>
    <xdr:to>
      <xdr:col>11</xdr:col>
      <xdr:colOff>52917</xdr:colOff>
      <xdr:row>257</xdr:row>
      <xdr:rowOff>146050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083BE6F-52F3-49B9-8A93-7672467482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260</xdr:row>
      <xdr:rowOff>0</xdr:rowOff>
    </xdr:from>
    <xdr:to>
      <xdr:col>11</xdr:col>
      <xdr:colOff>709083</xdr:colOff>
      <xdr:row>290</xdr:row>
      <xdr:rowOff>158750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858D8412-E1DB-41E5-9FFD-FA4C8EAA75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293</xdr:row>
      <xdr:rowOff>0</xdr:rowOff>
    </xdr:from>
    <xdr:to>
      <xdr:col>12</xdr:col>
      <xdr:colOff>6350</xdr:colOff>
      <xdr:row>324</xdr:row>
      <xdr:rowOff>41910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DE36F8A7-0D1C-4A95-9693-3BBF0ACCC6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11981</xdr:colOff>
      <xdr:row>82</xdr:row>
      <xdr:rowOff>106631</xdr:rowOff>
    </xdr:from>
    <xdr:to>
      <xdr:col>6</xdr:col>
      <xdr:colOff>1631230</xdr:colOff>
      <xdr:row>113</xdr:row>
      <xdr:rowOff>116986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5382923-7168-466E-8A3E-98331E8709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59906</xdr:colOff>
      <xdr:row>113</xdr:row>
      <xdr:rowOff>167735</xdr:rowOff>
    </xdr:from>
    <xdr:to>
      <xdr:col>6</xdr:col>
      <xdr:colOff>1635861</xdr:colOff>
      <xdr:row>145</xdr:row>
      <xdr:rowOff>114582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B72A9D-B8A9-4A34-93AE-4866D9C957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47925</xdr:colOff>
      <xdr:row>146</xdr:row>
      <xdr:rowOff>131791</xdr:rowOff>
    </xdr:from>
    <xdr:to>
      <xdr:col>6</xdr:col>
      <xdr:colOff>1658516</xdr:colOff>
      <xdr:row>181</xdr:row>
      <xdr:rowOff>61320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A571940-6A8E-487F-B4A8-239B6D48A6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47925</xdr:colOff>
      <xdr:row>182</xdr:row>
      <xdr:rowOff>46725</xdr:rowOff>
    </xdr:from>
    <xdr:to>
      <xdr:col>6</xdr:col>
      <xdr:colOff>1658515</xdr:colOff>
      <xdr:row>216</xdr:row>
      <xdr:rowOff>47924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1C5137B-B85C-4580-86C8-EDD9E45E0F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59907</xdr:colOff>
      <xdr:row>217</xdr:row>
      <xdr:rowOff>29298</xdr:rowOff>
    </xdr:from>
    <xdr:to>
      <xdr:col>6</xdr:col>
      <xdr:colOff>1653179</xdr:colOff>
      <xdr:row>251</xdr:row>
      <xdr:rowOff>115889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336C144-F439-4359-AC75-81380B7610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35943</xdr:colOff>
      <xdr:row>252</xdr:row>
      <xdr:rowOff>122533</xdr:rowOff>
    </xdr:from>
    <xdr:to>
      <xdr:col>6</xdr:col>
      <xdr:colOff>1611898</xdr:colOff>
      <xdr:row>286</xdr:row>
      <xdr:rowOff>174488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162C058A-F2D9-47F1-B8E5-D3458EF39B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287</xdr:row>
      <xdr:rowOff>155754</xdr:rowOff>
    </xdr:from>
    <xdr:to>
      <xdr:col>6</xdr:col>
      <xdr:colOff>1558636</xdr:colOff>
      <xdr:row>323</xdr:row>
      <xdr:rowOff>67965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DD5A081C-6CF8-4CB5-B195-E2492DC2A4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47925</xdr:colOff>
      <xdr:row>324</xdr:row>
      <xdr:rowOff>122533</xdr:rowOff>
    </xdr:from>
    <xdr:to>
      <xdr:col>6</xdr:col>
      <xdr:colOff>1623880</xdr:colOff>
      <xdr:row>358</xdr:row>
      <xdr:rowOff>108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415A6433-2CD8-41F1-A93E-3D300A2415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711200</xdr:colOff>
      <xdr:row>69</xdr:row>
      <xdr:rowOff>88900</xdr:rowOff>
    </xdr:from>
    <xdr:to>
      <xdr:col>13</xdr:col>
      <xdr:colOff>81591</xdr:colOff>
      <xdr:row>100</xdr:row>
      <xdr:rowOff>148378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7EFC3890-7842-0F40-8170-9D9AD00826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304800</xdr:colOff>
      <xdr:row>315</xdr:row>
      <xdr:rowOff>50800</xdr:rowOff>
    </xdr:from>
    <xdr:to>
      <xdr:col>12</xdr:col>
      <xdr:colOff>457397</xdr:colOff>
      <xdr:row>348</xdr:row>
      <xdr:rowOff>159611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1691404-D7D3-594F-8374-E2347F28FB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266700</xdr:colOff>
      <xdr:row>278</xdr:row>
      <xdr:rowOff>165100</xdr:rowOff>
    </xdr:from>
    <xdr:to>
      <xdr:col>12</xdr:col>
      <xdr:colOff>401978</xdr:colOff>
      <xdr:row>314</xdr:row>
      <xdr:rowOff>120443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AB8CC6B7-AEEF-F444-AA4B-C865892F70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254000</xdr:colOff>
      <xdr:row>243</xdr:row>
      <xdr:rowOff>165100</xdr:rowOff>
    </xdr:from>
    <xdr:to>
      <xdr:col>12</xdr:col>
      <xdr:colOff>406597</xdr:colOff>
      <xdr:row>278</xdr:row>
      <xdr:rowOff>67291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A3E883F3-A62E-644F-8278-CFBE0DA9B0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292100</xdr:colOff>
      <xdr:row>208</xdr:row>
      <xdr:rowOff>76200</xdr:rowOff>
    </xdr:from>
    <xdr:to>
      <xdr:col>12</xdr:col>
      <xdr:colOff>462014</xdr:colOff>
      <xdr:row>243</xdr:row>
      <xdr:rowOff>13027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25B056B6-4A24-3441-8AD8-AE43D57116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241300</xdr:colOff>
      <xdr:row>173</xdr:row>
      <xdr:rowOff>76200</xdr:rowOff>
    </xdr:from>
    <xdr:to>
      <xdr:col>12</xdr:col>
      <xdr:colOff>428532</xdr:colOff>
      <xdr:row>207</xdr:row>
      <xdr:rowOff>118135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26C45B97-933C-DD41-BC85-D2608E2DF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203200</xdr:colOff>
      <xdr:row>137</xdr:row>
      <xdr:rowOff>127000</xdr:rowOff>
    </xdr:from>
    <xdr:to>
      <xdr:col>12</xdr:col>
      <xdr:colOff>390433</xdr:colOff>
      <xdr:row>172</xdr:row>
      <xdr:rowOff>98463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FAEDBB91-745A-3242-903C-539DC94A89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647700</xdr:colOff>
      <xdr:row>102</xdr:row>
      <xdr:rowOff>25400</xdr:rowOff>
    </xdr:from>
    <xdr:to>
      <xdr:col>12</xdr:col>
      <xdr:colOff>800297</xdr:colOff>
      <xdr:row>134</xdr:row>
      <xdr:rowOff>10587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10B8F907-CAC9-AA45-8899-C6EC26EFAD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501650</xdr:colOff>
      <xdr:row>32</xdr:row>
      <xdr:rowOff>148590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CD2087-F00E-4E42-B4A3-B57628CC0D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12</xdr:col>
      <xdr:colOff>529167</xdr:colOff>
      <xdr:row>66</xdr:row>
      <xdr:rowOff>165100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CDCAC07-1639-F440-BA67-E1F892335D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68</xdr:row>
      <xdr:rowOff>0</xdr:rowOff>
    </xdr:from>
    <xdr:to>
      <xdr:col>12</xdr:col>
      <xdr:colOff>431800</xdr:colOff>
      <xdr:row>100</xdr:row>
      <xdr:rowOff>106680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7196EAD-E32F-D142-BCE3-47E97F9CDD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104</xdr:row>
      <xdr:rowOff>114300</xdr:rowOff>
    </xdr:from>
    <xdr:to>
      <xdr:col>12</xdr:col>
      <xdr:colOff>450850</xdr:colOff>
      <xdr:row>137</xdr:row>
      <xdr:rowOff>41910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FDC0C09-71AB-4B45-9C4E-52FBE64C86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144</xdr:row>
      <xdr:rowOff>152400</xdr:rowOff>
    </xdr:from>
    <xdr:to>
      <xdr:col>12</xdr:col>
      <xdr:colOff>243417</xdr:colOff>
      <xdr:row>176</xdr:row>
      <xdr:rowOff>146050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29AFE19-B2BA-8D4E-BD19-D30D47406F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0.88976</cdr:x>
      <cdr:y>0.84733</cdr:y>
    </cdr:from>
    <cdr:to>
      <cdr:x>0.95477</cdr:x>
      <cdr:y>0.89493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14ED66B-F78A-8293-5C20-1C3AEA617A5A}"/>
            </a:ext>
          </a:extLst>
        </cdr:cNvPr>
        <cdr:cNvSpPr txBox="1"/>
      </cdr:nvSpPr>
      <cdr:spPr>
        <a:xfrm xmlns:a="http://schemas.openxmlformats.org/drawingml/2006/main">
          <a:off x="9618133" y="5274733"/>
          <a:ext cx="702734" cy="2963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 b="1"/>
            <a:t>Surrey</a:t>
          </a:r>
        </a:p>
      </cdr:txBody>
    </cdr:sp>
  </cdr:relSizeAnchor>
  <cdr:relSizeAnchor xmlns:cdr="http://schemas.openxmlformats.org/drawingml/2006/chartDrawing">
    <cdr:from>
      <cdr:x>0.61719</cdr:x>
      <cdr:y>0.59572</cdr:y>
    </cdr:from>
    <cdr:to>
      <cdr:x>0.70178</cdr:x>
      <cdr:y>0.6338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5AE87E18-A136-E949-341A-ED3035535467}"/>
            </a:ext>
          </a:extLst>
        </cdr:cNvPr>
        <cdr:cNvSpPr txBox="1"/>
      </cdr:nvSpPr>
      <cdr:spPr>
        <a:xfrm xmlns:a="http://schemas.openxmlformats.org/drawingml/2006/main">
          <a:off x="6671733" y="3708399"/>
          <a:ext cx="914400" cy="2370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 b="1"/>
            <a:t>Vancouver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409BB-F8C3-4BC7-B19A-7E54555D2E07}">
  <dimension ref="A1:U85"/>
  <sheetViews>
    <sheetView zoomScale="70" zoomScaleNormal="70" workbookViewId="0">
      <selection activeCell="E10" sqref="E10"/>
    </sheetView>
  </sheetViews>
  <sheetFormatPr baseColWidth="10" defaultColWidth="8.83203125" defaultRowHeight="15" x14ac:dyDescent="0.2"/>
  <cols>
    <col min="1" max="1" width="7.6640625" customWidth="1"/>
    <col min="2" max="2" width="21.6640625" customWidth="1"/>
    <col min="3" max="4" width="20.1640625" customWidth="1"/>
    <col min="5" max="8" width="25" customWidth="1"/>
    <col min="9" max="9" width="27" customWidth="1"/>
    <col min="10" max="13" width="22.5" customWidth="1"/>
    <col min="14" max="17" width="21" customWidth="1"/>
    <col min="18" max="18" width="17.5" customWidth="1"/>
    <col min="19" max="19" width="21.1640625" customWidth="1"/>
    <col min="20" max="21" width="20.5" customWidth="1"/>
  </cols>
  <sheetData>
    <row r="1" spans="1:21" ht="16" x14ac:dyDescent="0.2">
      <c r="A1" t="s">
        <v>133</v>
      </c>
      <c r="C1" s="1"/>
      <c r="D1" s="1"/>
      <c r="E1" s="1"/>
      <c r="F1" s="1"/>
      <c r="G1" s="1"/>
      <c r="H1" s="1"/>
    </row>
    <row r="2" spans="1:21" ht="16" thickBot="1" x14ac:dyDescent="0.25"/>
    <row r="3" spans="1:21" ht="69" thickBot="1" x14ac:dyDescent="0.25">
      <c r="A3" s="2" t="s">
        <v>16</v>
      </c>
      <c r="B3" s="2" t="s">
        <v>17</v>
      </c>
      <c r="C3" s="3" t="s">
        <v>134</v>
      </c>
      <c r="D3" s="3" t="s">
        <v>18</v>
      </c>
      <c r="E3" s="3" t="s">
        <v>0</v>
      </c>
      <c r="F3" s="3" t="s">
        <v>19</v>
      </c>
      <c r="G3" s="3" t="s">
        <v>20</v>
      </c>
      <c r="H3" s="3" t="s">
        <v>135</v>
      </c>
      <c r="I3" s="3" t="s">
        <v>21</v>
      </c>
      <c r="J3" s="3" t="s">
        <v>22</v>
      </c>
      <c r="K3" s="3" t="s">
        <v>23</v>
      </c>
      <c r="L3" s="3" t="s">
        <v>24</v>
      </c>
      <c r="M3" s="4" t="s">
        <v>136</v>
      </c>
      <c r="N3" s="4" t="s">
        <v>1</v>
      </c>
      <c r="O3" s="4" t="s">
        <v>25</v>
      </c>
      <c r="P3" s="4" t="s">
        <v>26</v>
      </c>
      <c r="Q3" s="4" t="s">
        <v>27</v>
      </c>
      <c r="R3" s="4" t="s">
        <v>28</v>
      </c>
      <c r="S3" s="4" t="s">
        <v>29</v>
      </c>
      <c r="T3" s="4" t="s">
        <v>30</v>
      </c>
      <c r="U3" s="4" t="s">
        <v>31</v>
      </c>
    </row>
    <row r="4" spans="1:21" ht="17" thickBot="1" x14ac:dyDescent="0.25">
      <c r="A4" s="175"/>
      <c r="B4" s="176" t="s">
        <v>32</v>
      </c>
      <c r="C4" s="177">
        <v>47857</v>
      </c>
      <c r="D4" s="178">
        <v>49451</v>
      </c>
      <c r="E4" s="179">
        <v>3.330756211212571E-2</v>
      </c>
      <c r="F4" s="180">
        <v>0.16426519753260818</v>
      </c>
      <c r="G4" s="180">
        <v>0.47540054300802576</v>
      </c>
      <c r="H4" s="177">
        <v>564532</v>
      </c>
      <c r="I4" s="178">
        <v>558985</v>
      </c>
      <c r="J4" s="179">
        <v>-9.8258380392962658E-3</v>
      </c>
      <c r="K4" s="180">
        <v>-3.5377903866529996E-2</v>
      </c>
      <c r="L4" s="180">
        <v>-9.1351679093863131E-2</v>
      </c>
      <c r="M4" s="180"/>
      <c r="N4" s="180">
        <v>8.8465701226329865E-2</v>
      </c>
      <c r="O4" s="180">
        <v>3.6928274122679516E-3</v>
      </c>
      <c r="P4" s="180">
        <v>1.5169711331837157E-2</v>
      </c>
      <c r="Q4" s="180">
        <v>3.398272624165051E-2</v>
      </c>
      <c r="R4" s="180">
        <v>0.15208677198773873</v>
      </c>
      <c r="S4" s="180">
        <v>0.16300428924149163</v>
      </c>
      <c r="T4" s="181">
        <v>0.42959366215180167</v>
      </c>
      <c r="U4" s="182">
        <v>0.42403615380206378</v>
      </c>
    </row>
    <row r="5" spans="1:21" ht="17" thickBot="1" x14ac:dyDescent="0.25">
      <c r="A5" s="183">
        <v>5</v>
      </c>
      <c r="B5" s="8" t="s">
        <v>33</v>
      </c>
      <c r="C5" s="177">
        <v>436.00000000000006</v>
      </c>
      <c r="D5" s="184">
        <v>447</v>
      </c>
      <c r="E5" s="185">
        <v>2.5229357798165139E-2</v>
      </c>
      <c r="F5" s="186">
        <v>0.26988636363636365</v>
      </c>
      <c r="G5" s="187">
        <v>1.5838150289017341</v>
      </c>
      <c r="H5" s="177">
        <v>5259</v>
      </c>
      <c r="I5" s="188">
        <v>5260</v>
      </c>
      <c r="J5" s="185">
        <v>1.9015021867275147E-4</v>
      </c>
      <c r="K5" s="186">
        <v>-5.1055385170485294E-2</v>
      </c>
      <c r="L5" s="186">
        <v>-0.1737354696826893</v>
      </c>
      <c r="M5" s="186">
        <v>4.1226912928759893E-2</v>
      </c>
      <c r="N5" s="186">
        <v>8.4980988593155893E-2</v>
      </c>
      <c r="O5" s="186">
        <v>2.075493251836244E-3</v>
      </c>
      <c r="P5" s="186">
        <v>2.1477470642587607E-2</v>
      </c>
      <c r="Q5" s="186">
        <v>5.7805368109335599E-2</v>
      </c>
      <c r="R5" s="187">
        <v>-1</v>
      </c>
      <c r="S5" s="187">
        <v>-0.37075405214940094</v>
      </c>
      <c r="T5" s="189">
        <v>0.53846153846153844</v>
      </c>
      <c r="U5" s="190">
        <v>0.57244812640775367</v>
      </c>
    </row>
    <row r="6" spans="1:21" ht="17" thickBot="1" x14ac:dyDescent="0.25">
      <c r="A6" s="183">
        <v>6</v>
      </c>
      <c r="B6" s="8" t="s">
        <v>34</v>
      </c>
      <c r="C6" s="177">
        <v>176</v>
      </c>
      <c r="D6" s="191">
        <v>145</v>
      </c>
      <c r="E6" s="192">
        <v>-0.17613636363636365</v>
      </c>
      <c r="F6" s="192">
        <v>-0.33789954337899542</v>
      </c>
      <c r="G6" s="192">
        <v>-0.24870466321243523</v>
      </c>
      <c r="H6" s="177">
        <v>3086</v>
      </c>
      <c r="I6" s="188">
        <v>3082</v>
      </c>
      <c r="J6" s="185">
        <v>-1.2961762799740765E-3</v>
      </c>
      <c r="K6" s="186">
        <v>-8.2465019350997315E-2</v>
      </c>
      <c r="L6" s="186">
        <v>-0.20072614107883818</v>
      </c>
      <c r="M6" s="186">
        <v>4.9840085287846482E-2</v>
      </c>
      <c r="N6" s="192">
        <v>4.7047371836469822E-2</v>
      </c>
      <c r="O6" s="192">
        <v>-9.9843844823895439E-3</v>
      </c>
      <c r="P6" s="192">
        <v>-1.8150603751502785E-2</v>
      </c>
      <c r="Q6" s="192">
        <v>-3.0044953834471935E-3</v>
      </c>
      <c r="R6" s="193">
        <v>0.18181818181818182</v>
      </c>
      <c r="S6" s="193">
        <v>0.15541125541125539</v>
      </c>
      <c r="T6" s="189">
        <v>0.4</v>
      </c>
      <c r="U6" s="194">
        <v>0.20899958228905594</v>
      </c>
    </row>
    <row r="7" spans="1:21" ht="18" thickBot="1" x14ac:dyDescent="0.25">
      <c r="A7" s="183">
        <v>8</v>
      </c>
      <c r="B7" s="8" t="s">
        <v>35</v>
      </c>
      <c r="C7" s="177">
        <v>277</v>
      </c>
      <c r="D7" s="184">
        <v>267</v>
      </c>
      <c r="E7" s="192">
        <v>-3.6101083032490974E-2</v>
      </c>
      <c r="F7" s="186">
        <v>-3.2608695652173912E-2</v>
      </c>
      <c r="G7" s="192">
        <v>-4.642857142857143E-2</v>
      </c>
      <c r="H7" s="177">
        <v>5458</v>
      </c>
      <c r="I7" s="188">
        <v>5245</v>
      </c>
      <c r="J7" s="192">
        <v>-3.9025283986808358E-2</v>
      </c>
      <c r="K7" s="186">
        <v>-2.2731507359791316E-2</v>
      </c>
      <c r="L7" s="186">
        <v>-0.1608</v>
      </c>
      <c r="M7" s="186">
        <v>4.8054539408047887E-2</v>
      </c>
      <c r="N7" s="195">
        <v>5.0905624404194473E-2</v>
      </c>
      <c r="O7" s="196">
        <v>1.5443349177234056E-4</v>
      </c>
      <c r="P7" s="196">
        <v>-5.1975290156293374E-4</v>
      </c>
      <c r="Q7" s="196">
        <v>6.1056244041944735E-3</v>
      </c>
      <c r="R7" s="186" t="s">
        <v>110</v>
      </c>
      <c r="S7" s="186" t="s">
        <v>110</v>
      </c>
      <c r="T7" s="189">
        <v>0.53703703703703709</v>
      </c>
      <c r="U7" s="197">
        <v>0.62801151949758771</v>
      </c>
    </row>
    <row r="8" spans="1:21" ht="17" thickBot="1" x14ac:dyDescent="0.25">
      <c r="A8" s="198">
        <v>10</v>
      </c>
      <c r="B8" s="9" t="s">
        <v>3</v>
      </c>
      <c r="C8" s="199"/>
      <c r="D8" s="200"/>
      <c r="E8" s="201"/>
      <c r="F8" s="202"/>
      <c r="G8" s="202"/>
      <c r="H8" s="202"/>
      <c r="I8" s="203">
        <v>475</v>
      </c>
      <c r="J8" s="201">
        <v>-5.7539682539682536E-2</v>
      </c>
      <c r="K8" s="204">
        <v>-0.20965058236272879</v>
      </c>
      <c r="L8" s="202">
        <v>-0.31358381502890176</v>
      </c>
      <c r="M8" s="202"/>
      <c r="N8" s="205"/>
      <c r="O8" s="206"/>
      <c r="P8" s="206"/>
      <c r="Q8" s="206"/>
      <c r="R8" s="206"/>
      <c r="S8" s="206"/>
      <c r="T8" s="189"/>
    </row>
    <row r="9" spans="1:21" ht="17" thickBot="1" x14ac:dyDescent="0.25">
      <c r="A9" s="198">
        <v>19</v>
      </c>
      <c r="B9" s="9" t="s">
        <v>4</v>
      </c>
      <c r="C9" s="177"/>
      <c r="D9" s="203"/>
      <c r="E9" s="201"/>
      <c r="F9" s="202"/>
      <c r="G9" s="202"/>
      <c r="H9" s="202"/>
      <c r="I9" s="203">
        <v>959</v>
      </c>
      <c r="J9" s="201">
        <v>-6.1643835616438353E-2</v>
      </c>
      <c r="K9" s="202">
        <v>-0.13991031390134528</v>
      </c>
      <c r="L9" s="202">
        <v>-0.31937544357700498</v>
      </c>
      <c r="M9" s="202"/>
      <c r="N9" s="205"/>
      <c r="O9" s="206"/>
      <c r="P9" s="206"/>
      <c r="Q9" s="206"/>
      <c r="R9" s="206"/>
      <c r="S9" s="206"/>
      <c r="T9" s="189"/>
    </row>
    <row r="10" spans="1:21" ht="18" thickBot="1" x14ac:dyDescent="0.25">
      <c r="A10" s="183">
        <v>20</v>
      </c>
      <c r="B10" s="8" t="s">
        <v>36</v>
      </c>
      <c r="C10" s="177">
        <v>171</v>
      </c>
      <c r="D10" s="203">
        <v>202</v>
      </c>
      <c r="E10" s="187">
        <v>0.18128654970760233</v>
      </c>
      <c r="F10" s="186">
        <v>0.18128654970760233</v>
      </c>
      <c r="G10" s="186">
        <v>0.65573770491803274</v>
      </c>
      <c r="H10" s="177">
        <v>3869.9999999999995</v>
      </c>
      <c r="I10" s="188">
        <v>3739</v>
      </c>
      <c r="J10" s="185">
        <v>-3.3850129198966405E-2</v>
      </c>
      <c r="K10" s="207">
        <v>-0.12619770974526759</v>
      </c>
      <c r="L10" s="207">
        <v>-0.24495153473344103</v>
      </c>
      <c r="M10" s="207">
        <v>3.2453936348408707E-2</v>
      </c>
      <c r="N10" s="208">
        <v>5.4025140411874832E-2</v>
      </c>
      <c r="O10" s="207">
        <v>9.8390939002469258E-3</v>
      </c>
      <c r="P10" s="207">
        <v>1.4062532325873428E-2</v>
      </c>
      <c r="Q10" s="207">
        <v>2.9388629911067079E-2</v>
      </c>
      <c r="R10" s="207" t="s">
        <v>110</v>
      </c>
      <c r="S10" s="207" t="s">
        <v>110</v>
      </c>
      <c r="T10" s="189">
        <v>0.29629629629629628</v>
      </c>
      <c r="U10" s="190">
        <v>0.36594696115994291</v>
      </c>
    </row>
    <row r="11" spans="1:21" ht="17" thickBot="1" x14ac:dyDescent="0.25">
      <c r="A11" s="183">
        <v>22</v>
      </c>
      <c r="B11" s="8" t="s">
        <v>37</v>
      </c>
      <c r="C11" s="177">
        <v>1042</v>
      </c>
      <c r="D11" s="188">
        <v>1055</v>
      </c>
      <c r="E11" s="185">
        <v>1.2476007677543186E-2</v>
      </c>
      <c r="F11" s="186">
        <v>0.15426695842450766</v>
      </c>
      <c r="G11" s="186">
        <v>0.43147896879240161</v>
      </c>
      <c r="H11" s="177">
        <v>8248</v>
      </c>
      <c r="I11" s="188">
        <v>8127</v>
      </c>
      <c r="J11" s="185">
        <v>-1.4670223084384093E-2</v>
      </c>
      <c r="K11" s="207">
        <v>-0.10169116834309716</v>
      </c>
      <c r="L11" s="207">
        <v>-0.16138685378185946</v>
      </c>
      <c r="M11" s="207">
        <v>8.5741010184992722E-2</v>
      </c>
      <c r="N11" s="208">
        <v>0.12981419958164145</v>
      </c>
      <c r="O11" s="207">
        <v>3.4805429376065233E-3</v>
      </c>
      <c r="P11" s="207">
        <v>2.8786234510347092E-2</v>
      </c>
      <c r="Q11" s="207">
        <v>5.376425633533044E-2</v>
      </c>
      <c r="R11" s="207">
        <v>0.15384615384615385</v>
      </c>
      <c r="S11" s="207">
        <v>0.16095742492801318</v>
      </c>
      <c r="T11" s="189">
        <v>0.35714285714285715</v>
      </c>
      <c r="U11" s="190">
        <v>0.47291336424343156</v>
      </c>
    </row>
    <row r="12" spans="1:21" ht="17" thickBot="1" x14ac:dyDescent="0.25">
      <c r="A12" s="183">
        <v>23</v>
      </c>
      <c r="B12" s="8" t="s">
        <v>38</v>
      </c>
      <c r="C12" s="177">
        <v>2157</v>
      </c>
      <c r="D12" s="203">
        <v>2191</v>
      </c>
      <c r="E12" s="201">
        <v>1.5762633286972649E-2</v>
      </c>
      <c r="F12" s="202">
        <v>0.21654636313159356</v>
      </c>
      <c r="G12" s="202">
        <v>0.45581395348837211</v>
      </c>
      <c r="H12" s="177">
        <v>21328</v>
      </c>
      <c r="I12" s="209">
        <v>21293</v>
      </c>
      <c r="J12" s="201">
        <v>-1.6410352588147037E-3</v>
      </c>
      <c r="K12" s="210">
        <v>-2.0426001748171319E-2</v>
      </c>
      <c r="L12" s="210">
        <v>-4.9377204339479439E-2</v>
      </c>
      <c r="M12" s="210">
        <v>7.1505666486778197E-2</v>
      </c>
      <c r="N12" s="208">
        <v>0.10289766589959141</v>
      </c>
      <c r="O12" s="207">
        <v>1.7630072349252429E-3</v>
      </c>
      <c r="P12" s="207">
        <v>2.0043546195860448E-2</v>
      </c>
      <c r="Q12" s="207">
        <v>3.5707166323717496E-2</v>
      </c>
      <c r="R12" s="207">
        <v>0.2119815668202765</v>
      </c>
      <c r="S12" s="207">
        <v>0.15278587038676578</v>
      </c>
      <c r="T12" s="211">
        <v>0.22018348623853212</v>
      </c>
      <c r="U12" s="190">
        <v>0.25050856623259171</v>
      </c>
    </row>
    <row r="13" spans="1:21" ht="17" thickBot="1" x14ac:dyDescent="0.25">
      <c r="A13" s="183">
        <v>27</v>
      </c>
      <c r="B13" s="8" t="s">
        <v>39</v>
      </c>
      <c r="C13" s="177">
        <v>300</v>
      </c>
      <c r="D13" s="212">
        <v>319</v>
      </c>
      <c r="E13" s="201">
        <v>6.3333333333333339E-2</v>
      </c>
      <c r="F13" s="204">
        <v>-9.1168091168091173E-2</v>
      </c>
      <c r="G13" s="202">
        <v>7.407407407407407E-2</v>
      </c>
      <c r="H13" s="177">
        <v>5046</v>
      </c>
      <c r="I13" s="203">
        <v>4947</v>
      </c>
      <c r="J13" s="201">
        <v>-1.9619500594530322E-2</v>
      </c>
      <c r="K13" s="213">
        <v>-0.21313822172737396</v>
      </c>
      <c r="L13" s="213">
        <v>-0.33085351007709995</v>
      </c>
      <c r="M13" s="210">
        <v>4.610470767948896E-2</v>
      </c>
      <c r="N13" s="208">
        <v>6.4483525368910458E-2</v>
      </c>
      <c r="O13" s="207">
        <v>5.0304932642731212E-3</v>
      </c>
      <c r="P13" s="207">
        <v>8.6540359462923544E-3</v>
      </c>
      <c r="Q13" s="207">
        <v>2.43103886179298E-2</v>
      </c>
      <c r="R13" s="207">
        <v>0.25</v>
      </c>
      <c r="S13" s="207">
        <v>0.30485068792995623</v>
      </c>
      <c r="T13" s="189">
        <v>0.375</v>
      </c>
      <c r="U13" s="190">
        <v>0.53302725203814139</v>
      </c>
    </row>
    <row r="14" spans="1:21" ht="17" thickBot="1" x14ac:dyDescent="0.25">
      <c r="A14" s="183">
        <v>28</v>
      </c>
      <c r="B14" s="8" t="s">
        <v>40</v>
      </c>
      <c r="C14" s="177">
        <v>198</v>
      </c>
      <c r="D14" s="203">
        <v>194</v>
      </c>
      <c r="E14" s="204">
        <v>-2.0202020202020204E-2</v>
      </c>
      <c r="F14" s="204">
        <v>-6.7307692307692304E-2</v>
      </c>
      <c r="G14" s="204">
        <v>-0.25384615384615383</v>
      </c>
      <c r="H14" s="177">
        <v>3450</v>
      </c>
      <c r="I14" s="203">
        <v>3374</v>
      </c>
      <c r="J14" s="201">
        <v>-2.2028985507246378E-2</v>
      </c>
      <c r="K14" s="202">
        <v>-0.15396188565697091</v>
      </c>
      <c r="L14" s="202">
        <v>-0.30202730657840299</v>
      </c>
      <c r="M14" s="202">
        <v>5.8352402745995423E-2</v>
      </c>
      <c r="N14" s="186">
        <v>5.7498518079430939E-2</v>
      </c>
      <c r="O14" s="192">
        <v>1.0721373160485492E-4</v>
      </c>
      <c r="P14" s="186">
        <v>5.3420486712062662E-3</v>
      </c>
      <c r="Q14" s="192">
        <v>3.7128333462906823E-3</v>
      </c>
      <c r="R14" s="192">
        <v>0.55555555555555558</v>
      </c>
      <c r="S14" s="192">
        <v>0.39761031619855153</v>
      </c>
      <c r="T14" s="211">
        <v>0.21428571428571427</v>
      </c>
      <c r="U14" s="190">
        <v>0.40634432234432233</v>
      </c>
    </row>
    <row r="15" spans="1:21" ht="18" thickBot="1" x14ac:dyDescent="0.25">
      <c r="A15" s="183">
        <v>33</v>
      </c>
      <c r="B15" s="8" t="s">
        <v>41</v>
      </c>
      <c r="C15" s="177">
        <v>467</v>
      </c>
      <c r="D15" s="212">
        <v>478</v>
      </c>
      <c r="E15" s="185">
        <v>2.3554603854389723E-2</v>
      </c>
      <c r="F15" s="186">
        <v>8.4388185654008432E-3</v>
      </c>
      <c r="G15" s="186">
        <v>0.38150289017341038</v>
      </c>
      <c r="H15" s="177">
        <v>12988.000000000002</v>
      </c>
      <c r="I15" s="203">
        <v>12995</v>
      </c>
      <c r="J15" s="201">
        <v>5.3895903911302737E-4</v>
      </c>
      <c r="K15" s="202">
        <v>-5.2704475871118241E-2</v>
      </c>
      <c r="L15" s="202">
        <v>-2.8047868362004489E-2</v>
      </c>
      <c r="M15" s="202">
        <v>2.9458179905312992E-2</v>
      </c>
      <c r="N15" s="192">
        <v>3.6783378222393227E-2</v>
      </c>
      <c r="O15" s="186">
        <v>8.2711089870982774E-4</v>
      </c>
      <c r="P15" s="186">
        <v>2.2302363649796125E-3</v>
      </c>
      <c r="Q15" s="186">
        <v>1.0904545013717088E-2</v>
      </c>
      <c r="R15" s="186" t="s">
        <v>110</v>
      </c>
      <c r="S15" s="186" t="s">
        <v>110</v>
      </c>
      <c r="T15" s="189">
        <v>0.3235294117647059</v>
      </c>
      <c r="U15" s="190">
        <v>0.379045066844727</v>
      </c>
    </row>
    <row r="16" spans="1:21" ht="17" thickBot="1" x14ac:dyDescent="0.25">
      <c r="A16" s="183">
        <v>34</v>
      </c>
      <c r="B16" s="8" t="s">
        <v>42</v>
      </c>
      <c r="C16" s="177">
        <v>1207</v>
      </c>
      <c r="D16" s="203">
        <v>1231</v>
      </c>
      <c r="E16" s="201">
        <v>1.9884009942004972E-2</v>
      </c>
      <c r="F16" s="202">
        <v>3.7068239258635213E-2</v>
      </c>
      <c r="G16" s="202">
        <v>0.14298978644382543</v>
      </c>
      <c r="H16" s="177">
        <v>19394</v>
      </c>
      <c r="I16" s="203">
        <v>19182</v>
      </c>
      <c r="J16" s="201">
        <v>-1.0931215839950501E-2</v>
      </c>
      <c r="K16" s="202">
        <v>-1.9675985076915214E-2</v>
      </c>
      <c r="L16" s="202">
        <v>-4.5101553166069293E-2</v>
      </c>
      <c r="M16" s="202">
        <v>5.6406406406406408E-2</v>
      </c>
      <c r="N16" s="206">
        <v>6.4174747158794704E-2</v>
      </c>
      <c r="O16" s="206">
        <v>1.9390041454916199E-3</v>
      </c>
      <c r="P16" s="206">
        <v>3.5113853762015618E-3</v>
      </c>
      <c r="Q16" s="206">
        <v>1.0560649189858023E-2</v>
      </c>
      <c r="R16" s="206">
        <v>0.25806451612903225</v>
      </c>
      <c r="S16" s="206">
        <v>0.27735590857465731</v>
      </c>
      <c r="T16" s="189">
        <v>0.29702970297029702</v>
      </c>
      <c r="U16" s="190">
        <v>0.40443006135347426</v>
      </c>
    </row>
    <row r="17" spans="1:21" ht="17" thickBot="1" x14ac:dyDescent="0.25">
      <c r="A17" s="183">
        <v>35</v>
      </c>
      <c r="B17" s="8" t="s">
        <v>43</v>
      </c>
      <c r="C17" s="177">
        <v>1408.9999999999998</v>
      </c>
      <c r="D17" s="203">
        <v>1433</v>
      </c>
      <c r="E17" s="201">
        <v>1.7033356990773598E-2</v>
      </c>
      <c r="F17" s="202">
        <v>-7.6177285318559558E-3</v>
      </c>
      <c r="G17" s="202">
        <v>0.12834645669291339</v>
      </c>
      <c r="H17" s="177">
        <v>19902</v>
      </c>
      <c r="I17" s="203">
        <v>19944</v>
      </c>
      <c r="J17" s="201">
        <v>2.1103406692794696E-3</v>
      </c>
      <c r="K17" s="202">
        <v>8.9543178023979361E-3</v>
      </c>
      <c r="L17" s="202">
        <v>-3.2502182982439121E-2</v>
      </c>
      <c r="M17" s="202">
        <v>6.6060244557113026E-2</v>
      </c>
      <c r="N17" s="205">
        <v>7.1851183313277181E-2</v>
      </c>
      <c r="O17" s="206">
        <v>1.0542784795921217E-3</v>
      </c>
      <c r="P17" s="214">
        <v>-1.1998613571330974E-3</v>
      </c>
      <c r="Q17" s="206">
        <v>1.0242567809250792E-2</v>
      </c>
      <c r="R17" s="206">
        <v>0.17647058823529413</v>
      </c>
      <c r="S17" s="206">
        <v>0.11803843876222357</v>
      </c>
      <c r="T17" s="189">
        <v>0.56476683937823835</v>
      </c>
      <c r="U17" s="190">
        <v>0.52104999349708714</v>
      </c>
    </row>
    <row r="18" spans="1:21" ht="17" thickBot="1" x14ac:dyDescent="0.25">
      <c r="A18" s="183">
        <v>36</v>
      </c>
      <c r="B18" s="8" t="s">
        <v>44</v>
      </c>
      <c r="C18" s="177">
        <v>3170</v>
      </c>
      <c r="D18" s="215">
        <v>3295</v>
      </c>
      <c r="E18" s="201">
        <v>3.9432176656151417E-2</v>
      </c>
      <c r="F18" s="202">
        <v>0.18100358422939067</v>
      </c>
      <c r="G18" s="202">
        <v>0.50387950707439522</v>
      </c>
      <c r="H18" s="177">
        <v>71974</v>
      </c>
      <c r="I18" s="215">
        <v>72273</v>
      </c>
      <c r="J18" s="216">
        <v>4.1542779336982798E-3</v>
      </c>
      <c r="K18" s="216">
        <v>6.7343050817420577E-2</v>
      </c>
      <c r="L18" s="216">
        <v>0.11259409781554519</v>
      </c>
      <c r="M18" s="202">
        <v>3.6569717707442259E-2</v>
      </c>
      <c r="N18" s="214">
        <v>4.5591022926957506E-2</v>
      </c>
      <c r="O18" s="206">
        <v>1.5473404860760764E-3</v>
      </c>
      <c r="P18" s="206">
        <v>4.3877089399830677E-3</v>
      </c>
      <c r="Q18" s="206">
        <v>1.1862055424378959E-2</v>
      </c>
      <c r="R18" s="206">
        <v>0.10743801652892562</v>
      </c>
      <c r="S18" s="206">
        <v>0.13912835194594059</v>
      </c>
      <c r="T18" s="189">
        <v>0.33454545454545453</v>
      </c>
      <c r="U18" s="190">
        <v>0.41139727682000088</v>
      </c>
    </row>
    <row r="19" spans="1:21" ht="17" thickBot="1" x14ac:dyDescent="0.25">
      <c r="A19" s="183">
        <v>37</v>
      </c>
      <c r="B19" s="8" t="s">
        <v>45</v>
      </c>
      <c r="C19" s="177">
        <v>2006.0000000000002</v>
      </c>
      <c r="D19" s="203">
        <v>2026</v>
      </c>
      <c r="E19" s="201">
        <v>9.9700897308075773E-3</v>
      </c>
      <c r="F19" s="202">
        <v>0.12119535141117875</v>
      </c>
      <c r="G19" s="202">
        <v>0.42776603241719519</v>
      </c>
      <c r="H19" s="177">
        <v>16123</v>
      </c>
      <c r="I19" s="203">
        <v>16006</v>
      </c>
      <c r="J19" s="201">
        <v>-7.2567140110401289E-3</v>
      </c>
      <c r="K19" s="202">
        <v>-3.1231085824960658E-2</v>
      </c>
      <c r="L19" s="202">
        <v>-0.10325508431844921</v>
      </c>
      <c r="M19" s="202">
        <v>8.8450832244503771E-2</v>
      </c>
      <c r="N19" s="186">
        <v>0.12657753342496564</v>
      </c>
      <c r="O19" s="186">
        <v>2.1590008937989874E-3</v>
      </c>
      <c r="P19" s="186">
        <v>1.7208207677477438E-2</v>
      </c>
      <c r="Q19" s="186">
        <v>4.7077281310001218E-2</v>
      </c>
      <c r="R19" s="186">
        <v>0.17499999999999999</v>
      </c>
      <c r="S19" s="186">
        <v>0.14877528856670827</v>
      </c>
      <c r="T19" s="189">
        <v>0.36627906976744184</v>
      </c>
      <c r="U19" s="190">
        <v>0.3580222068665887</v>
      </c>
    </row>
    <row r="20" spans="1:21" ht="17" thickBot="1" x14ac:dyDescent="0.25">
      <c r="A20" s="183">
        <v>38</v>
      </c>
      <c r="B20" s="8" t="s">
        <v>46</v>
      </c>
      <c r="C20" s="177">
        <v>2242</v>
      </c>
      <c r="D20" s="203">
        <v>2259</v>
      </c>
      <c r="E20" s="201">
        <v>7.5825156110615518E-3</v>
      </c>
      <c r="F20" s="202">
        <v>-3.0472103004291845E-2</v>
      </c>
      <c r="G20" s="202">
        <v>0.14728288471305231</v>
      </c>
      <c r="H20" s="177">
        <v>22138</v>
      </c>
      <c r="I20" s="215">
        <v>21811</v>
      </c>
      <c r="J20" s="201">
        <v>-1.4770982021862861E-2</v>
      </c>
      <c r="K20" s="202">
        <v>-5.2725298588490774E-2</v>
      </c>
      <c r="L20" s="202">
        <v>-8.5454316742840375E-2</v>
      </c>
      <c r="M20" s="202">
        <v>8.8634920634920636E-2</v>
      </c>
      <c r="N20" s="206">
        <v>0.10357159231580396</v>
      </c>
      <c r="O20" s="206">
        <v>2.2977645084139436E-3</v>
      </c>
      <c r="P20" s="206">
        <v>2.3772383527203567E-3</v>
      </c>
      <c r="Q20" s="206">
        <v>2.1010478642274663E-2</v>
      </c>
      <c r="R20" s="206">
        <v>0.20754716981132076</v>
      </c>
      <c r="S20" s="206">
        <v>0.23861529847627719</v>
      </c>
      <c r="T20" s="189">
        <v>0.43457943925233644</v>
      </c>
      <c r="U20" s="190">
        <v>0.37300320246980168</v>
      </c>
    </row>
    <row r="21" spans="1:21" ht="17" thickBot="1" x14ac:dyDescent="0.25">
      <c r="A21" s="183">
        <v>39</v>
      </c>
      <c r="B21" s="8" t="s">
        <v>47</v>
      </c>
      <c r="C21" s="177">
        <v>4962</v>
      </c>
      <c r="D21" s="215">
        <v>5070</v>
      </c>
      <c r="E21" s="201">
        <v>2.1765417170495769E-2</v>
      </c>
      <c r="F21" s="202">
        <v>0.15595075239398085</v>
      </c>
      <c r="G21" s="202">
        <v>0.58091674462114129</v>
      </c>
      <c r="H21" s="177">
        <v>56669</v>
      </c>
      <c r="I21" s="215">
        <v>55697</v>
      </c>
      <c r="J21" s="201">
        <v>-1.7152234907974379E-2</v>
      </c>
      <c r="K21" s="202">
        <v>-5.8870245517987189E-2</v>
      </c>
      <c r="L21" s="202">
        <v>-0.1119172141080426</v>
      </c>
      <c r="M21" s="202">
        <v>5.6008726941174557E-2</v>
      </c>
      <c r="N21" s="206">
        <v>9.1028242095624545E-2</v>
      </c>
      <c r="O21" s="206">
        <v>3.4671416703479369E-3</v>
      </c>
      <c r="P21" s="206">
        <v>1.6916618432624597E-2</v>
      </c>
      <c r="Q21" s="206">
        <v>3.9892965611154872E-2</v>
      </c>
      <c r="R21" s="206">
        <v>0.21167883211678831</v>
      </c>
      <c r="S21" s="206">
        <v>0.20028026208839025</v>
      </c>
      <c r="T21" s="189">
        <v>0.44904458598726116</v>
      </c>
      <c r="U21" s="190">
        <v>0.35456153197127083</v>
      </c>
    </row>
    <row r="22" spans="1:21" ht="17" thickBot="1" x14ac:dyDescent="0.25">
      <c r="A22" s="183">
        <v>40</v>
      </c>
      <c r="B22" s="8" t="s">
        <v>48</v>
      </c>
      <c r="C22" s="177">
        <v>972</v>
      </c>
      <c r="D22" s="203">
        <v>977</v>
      </c>
      <c r="E22" s="201">
        <v>5.1440329218106996E-3</v>
      </c>
      <c r="F22" s="202">
        <v>0.18712029161603888</v>
      </c>
      <c r="G22" s="216">
        <v>1.3485576923076923</v>
      </c>
      <c r="H22" s="177">
        <v>7548</v>
      </c>
      <c r="I22" s="203">
        <v>7663</v>
      </c>
      <c r="J22" s="216">
        <v>1.523582405935347E-2</v>
      </c>
      <c r="K22" s="202">
        <v>3.0804412160344363E-2</v>
      </c>
      <c r="L22" s="216">
        <v>2.3234076645747094E-2</v>
      </c>
      <c r="M22" s="202">
        <v>6.782816863944674E-2</v>
      </c>
      <c r="N22" s="206">
        <v>0.12749575884118491</v>
      </c>
      <c r="O22" s="214">
        <v>-1.2800758170026794E-3</v>
      </c>
      <c r="P22" s="206">
        <v>1.6788198981082678E-2</v>
      </c>
      <c r="Q22" s="217">
        <v>7.1947621573191858E-2</v>
      </c>
      <c r="R22" s="206">
        <v>0.11290322580645161</v>
      </c>
      <c r="S22" s="206">
        <v>0.13276680436132554</v>
      </c>
      <c r="T22" s="189">
        <v>0.47560975609756095</v>
      </c>
      <c r="U22" s="190">
        <v>0.40770899167302527</v>
      </c>
    </row>
    <row r="23" spans="1:21" ht="17" thickBot="1" x14ac:dyDescent="0.25">
      <c r="A23" s="183">
        <v>41</v>
      </c>
      <c r="B23" s="8" t="s">
        <v>49</v>
      </c>
      <c r="C23" s="177">
        <v>2086</v>
      </c>
      <c r="D23" s="203">
        <v>2143</v>
      </c>
      <c r="E23" s="201">
        <v>2.7325023969319271E-2</v>
      </c>
      <c r="F23" s="202">
        <v>0.18463239358761746</v>
      </c>
      <c r="G23" s="202">
        <v>0.78137988362427269</v>
      </c>
      <c r="H23" s="177">
        <v>25023</v>
      </c>
      <c r="I23" s="215">
        <v>24963</v>
      </c>
      <c r="J23" s="201">
        <v>-2.3977940294928664E-3</v>
      </c>
      <c r="K23" s="202">
        <v>-1.9674835061262958E-2</v>
      </c>
      <c r="L23" s="202">
        <v>-2.7087068360745186E-2</v>
      </c>
      <c r="M23" s="202">
        <v>5.2016272364627358E-2</v>
      </c>
      <c r="N23" s="206">
        <v>8.5847053639386287E-2</v>
      </c>
      <c r="O23" s="206">
        <v>2.4837478806842977E-3</v>
      </c>
      <c r="P23" s="206">
        <v>1.4805583328358948E-2</v>
      </c>
      <c r="Q23" s="206">
        <v>3.8961092145894979E-2</v>
      </c>
      <c r="R23" s="206">
        <v>0.16582914572864321</v>
      </c>
      <c r="S23" s="206">
        <v>0.21680207104023808</v>
      </c>
      <c r="T23" s="189">
        <v>0.55974842767295596</v>
      </c>
      <c r="U23" s="190">
        <v>0.48120279141757816</v>
      </c>
    </row>
    <row r="24" spans="1:21" ht="17" thickBot="1" x14ac:dyDescent="0.25">
      <c r="A24" s="183">
        <v>42</v>
      </c>
      <c r="B24" s="8" t="s">
        <v>50</v>
      </c>
      <c r="C24" s="177">
        <v>1431.0000000000002</v>
      </c>
      <c r="D24" s="203">
        <v>1474</v>
      </c>
      <c r="E24" s="201">
        <v>3.004891684136967E-2</v>
      </c>
      <c r="F24" s="202">
        <v>-2.6420079260237782E-2</v>
      </c>
      <c r="G24" s="202">
        <v>9.9179716629381062E-2</v>
      </c>
      <c r="H24" s="177">
        <v>14759</v>
      </c>
      <c r="I24" s="203">
        <v>14623</v>
      </c>
      <c r="J24" s="201">
        <v>-9.2147164442035363E-3</v>
      </c>
      <c r="K24" s="202">
        <v>-4.7671768153695865E-2</v>
      </c>
      <c r="L24" s="202">
        <v>-7.9677764491157405E-2</v>
      </c>
      <c r="M24" s="202">
        <v>8.6825026778400857E-2</v>
      </c>
      <c r="N24" s="206">
        <v>0.10080010941667236</v>
      </c>
      <c r="O24" s="206">
        <v>3.8423209486189713E-3</v>
      </c>
      <c r="P24" s="206">
        <v>2.2003047927713487E-3</v>
      </c>
      <c r="Q24" s="206">
        <v>1.6402098213953498E-2</v>
      </c>
      <c r="R24" s="217">
        <v>9.6551724137931033E-2</v>
      </c>
      <c r="S24" s="206">
        <v>0.16041388969311812</v>
      </c>
      <c r="T24" s="189">
        <v>0.58579881656804733</v>
      </c>
      <c r="U24" s="190">
        <v>0.57590736234929618</v>
      </c>
    </row>
    <row r="25" spans="1:21" ht="17" thickBot="1" x14ac:dyDescent="0.25">
      <c r="A25" s="183">
        <v>43</v>
      </c>
      <c r="B25" s="8" t="s">
        <v>51</v>
      </c>
      <c r="C25" s="177">
        <v>3258</v>
      </c>
      <c r="D25" s="215">
        <v>3456</v>
      </c>
      <c r="E25" s="201">
        <v>6.0773480662983423E-2</v>
      </c>
      <c r="F25" s="202">
        <v>0.37964071856287424</v>
      </c>
      <c r="G25" s="202">
        <v>0.6271186440677966</v>
      </c>
      <c r="H25" s="177">
        <v>33436</v>
      </c>
      <c r="I25" s="215">
        <v>33516</v>
      </c>
      <c r="J25" s="201">
        <v>2.3926306974518482E-3</v>
      </c>
      <c r="K25" s="216">
        <v>5.5190000944495166E-2</v>
      </c>
      <c r="L25" s="202">
        <v>-5.1942655308539372E-3</v>
      </c>
      <c r="M25" s="202">
        <v>6.7103752492597743E-2</v>
      </c>
      <c r="N25" s="206">
        <v>0.10311493018259936</v>
      </c>
      <c r="O25" s="206">
        <v>5.6750450288728382E-3</v>
      </c>
      <c r="P25" s="206">
        <v>2.4249583710288805E-2</v>
      </c>
      <c r="Q25" s="206">
        <v>4.0071387396692137E-2</v>
      </c>
      <c r="R25" s="206">
        <v>0.18374558303886926</v>
      </c>
      <c r="S25" s="206">
        <v>0.19953243148411198</v>
      </c>
      <c r="T25" s="189">
        <v>0.379746835443038</v>
      </c>
      <c r="U25" s="190">
        <v>0.43642737130261605</v>
      </c>
    </row>
    <row r="26" spans="1:21" ht="17" thickBot="1" x14ac:dyDescent="0.25">
      <c r="A26" s="183">
        <v>44</v>
      </c>
      <c r="B26" s="8" t="s">
        <v>52</v>
      </c>
      <c r="C26" s="177">
        <v>2393</v>
      </c>
      <c r="D26" s="215">
        <v>2505</v>
      </c>
      <c r="E26" s="201">
        <v>4.6803175929795236E-2</v>
      </c>
      <c r="F26" s="202">
        <v>0.16728797763280523</v>
      </c>
      <c r="G26" s="202">
        <v>0.40414798206278024</v>
      </c>
      <c r="H26" s="177">
        <v>15773</v>
      </c>
      <c r="I26" s="203">
        <v>15767</v>
      </c>
      <c r="J26" s="201">
        <v>-3.8039688074557789E-4</v>
      </c>
      <c r="K26" s="202">
        <v>-6.7978956079683156E-2</v>
      </c>
      <c r="L26" s="202">
        <v>-0.16248804844364176</v>
      </c>
      <c r="M26" s="202">
        <v>9.9570123589468026E-2</v>
      </c>
      <c r="N26" s="218">
        <v>0.15887613369696202</v>
      </c>
      <c r="O26" s="219">
        <v>7.1611777596007065E-3</v>
      </c>
      <c r="P26" s="219">
        <v>3.2021490438701089E-2</v>
      </c>
      <c r="Q26" s="219">
        <v>6.4113571283278811E-2</v>
      </c>
      <c r="R26" s="219">
        <v>0.125</v>
      </c>
      <c r="S26" s="219">
        <v>0.13106528895274067</v>
      </c>
      <c r="T26" s="189">
        <v>0.32941176470588235</v>
      </c>
      <c r="U26" s="190">
        <v>0.30387124835690404</v>
      </c>
    </row>
    <row r="27" spans="1:21" ht="17" thickBot="1" x14ac:dyDescent="0.25">
      <c r="A27" s="183">
        <v>45</v>
      </c>
      <c r="B27" s="8" t="s">
        <v>53</v>
      </c>
      <c r="C27" s="177">
        <v>907</v>
      </c>
      <c r="D27" s="203">
        <v>938</v>
      </c>
      <c r="E27" s="201">
        <v>3.4178610804851156E-2</v>
      </c>
      <c r="F27" s="202">
        <v>9.3240093240093247E-2</v>
      </c>
      <c r="G27" s="202">
        <v>0.64561403508771931</v>
      </c>
      <c r="H27" s="177">
        <v>7112</v>
      </c>
      <c r="I27" s="203">
        <v>7131</v>
      </c>
      <c r="J27" s="201">
        <v>2.6715410573678292E-3</v>
      </c>
      <c r="K27" s="202">
        <v>3.497822931785196E-2</v>
      </c>
      <c r="L27" s="216">
        <v>6.4169526936278171E-2</v>
      </c>
      <c r="M27" s="202">
        <v>9.364248317127899E-2</v>
      </c>
      <c r="N27" s="217">
        <v>0.13153835366708735</v>
      </c>
      <c r="O27" s="206">
        <v>4.0074200337915089E-3</v>
      </c>
      <c r="P27" s="206">
        <v>7.0100517802949014E-3</v>
      </c>
      <c r="Q27" s="206">
        <v>4.6476422612020951E-2</v>
      </c>
      <c r="R27" s="217">
        <v>7.5949367088607597E-2</v>
      </c>
      <c r="S27" s="206">
        <v>0.11562845538370073</v>
      </c>
      <c r="T27" s="189">
        <v>0.42499999999999999</v>
      </c>
      <c r="U27" s="190">
        <v>0.51494030782507738</v>
      </c>
    </row>
    <row r="28" spans="1:21" ht="17" thickBot="1" x14ac:dyDescent="0.25">
      <c r="A28" s="198">
        <v>46</v>
      </c>
      <c r="B28" s="9" t="s">
        <v>10</v>
      </c>
      <c r="C28" s="177">
        <v>0</v>
      </c>
      <c r="D28" s="203"/>
      <c r="E28" s="201"/>
      <c r="F28" s="202"/>
      <c r="G28" s="202"/>
      <c r="H28" s="202"/>
      <c r="I28" s="203">
        <v>3059</v>
      </c>
      <c r="J28" s="201">
        <v>-2.6416295353278166E-2</v>
      </c>
      <c r="K28" s="202">
        <v>-0.13071895424836602</v>
      </c>
      <c r="L28" s="202">
        <v>-0.27972686602307512</v>
      </c>
      <c r="M28" s="202"/>
      <c r="N28" s="206"/>
      <c r="O28" s="206"/>
      <c r="P28" s="206"/>
      <c r="Q28" s="206"/>
      <c r="R28" s="206"/>
      <c r="S28" s="206"/>
      <c r="T28" s="189"/>
    </row>
    <row r="29" spans="1:21" ht="17" thickBot="1" x14ac:dyDescent="0.25">
      <c r="A29" s="183">
        <v>47</v>
      </c>
      <c r="B29" s="8" t="s">
        <v>54</v>
      </c>
      <c r="C29" s="177">
        <v>54</v>
      </c>
      <c r="D29" s="220">
        <v>84</v>
      </c>
      <c r="E29" s="216">
        <v>0.55555555555555558</v>
      </c>
      <c r="F29" s="221" t="s">
        <v>110</v>
      </c>
      <c r="G29" s="221" t="s">
        <v>110</v>
      </c>
      <c r="H29" s="177">
        <v>2118</v>
      </c>
      <c r="I29" s="222">
        <v>2102</v>
      </c>
      <c r="J29" s="201">
        <v>-7.5542965061378663E-3</v>
      </c>
      <c r="K29" s="202">
        <v>-0.12598752598752599</v>
      </c>
      <c r="L29" s="202">
        <v>-0.25381611643592472</v>
      </c>
      <c r="M29" s="202" t="s">
        <v>137</v>
      </c>
      <c r="N29" s="214">
        <v>3.9961941008563276E-2</v>
      </c>
      <c r="O29" s="217">
        <v>1.4466190300347979E-2</v>
      </c>
      <c r="P29" s="206"/>
      <c r="Q29" s="206"/>
      <c r="R29" s="223" t="s">
        <v>110</v>
      </c>
      <c r="S29" s="223" t="s">
        <v>110</v>
      </c>
      <c r="T29" s="224" t="s">
        <v>110</v>
      </c>
      <c r="U29" s="225" t="s">
        <v>110</v>
      </c>
    </row>
    <row r="30" spans="1:21" ht="17" thickBot="1" x14ac:dyDescent="0.25">
      <c r="A30" s="183">
        <v>48</v>
      </c>
      <c r="B30" s="8" t="s">
        <v>55</v>
      </c>
      <c r="C30" s="177">
        <v>443.00000000000006</v>
      </c>
      <c r="D30" s="203">
        <v>506</v>
      </c>
      <c r="E30" s="216">
        <v>0.14221218961625282</v>
      </c>
      <c r="F30" s="216">
        <v>0.57632398753894076</v>
      </c>
      <c r="G30" s="216">
        <v>1.0823045267489713</v>
      </c>
      <c r="H30" s="177">
        <v>4313</v>
      </c>
      <c r="I30" s="203">
        <v>4480</v>
      </c>
      <c r="J30" s="216">
        <v>3.8720148388592626E-2</v>
      </c>
      <c r="K30" s="202">
        <v>5.2878965922444184E-2</v>
      </c>
      <c r="L30" s="202">
        <v>-2.0336759239011591E-2</v>
      </c>
      <c r="M30" s="202">
        <v>5.7569764886838057E-2</v>
      </c>
      <c r="N30" s="206">
        <v>0.11294642857142857</v>
      </c>
      <c r="O30" s="206">
        <v>1.0233699612467298E-2</v>
      </c>
      <c r="P30" s="206">
        <v>3.7505770522074877E-2</v>
      </c>
      <c r="Q30" s="206">
        <v>5.9808444753366032E-2</v>
      </c>
      <c r="R30" s="223" t="s">
        <v>110</v>
      </c>
      <c r="S30" s="223" t="s">
        <v>110</v>
      </c>
      <c r="T30" s="226">
        <v>0.66666666666666663</v>
      </c>
      <c r="U30" s="197">
        <v>0.585952380952381</v>
      </c>
    </row>
    <row r="31" spans="1:21" ht="17" thickBot="1" x14ac:dyDescent="0.25">
      <c r="A31" s="198">
        <v>49</v>
      </c>
      <c r="B31" s="9" t="s">
        <v>13</v>
      </c>
      <c r="C31" s="177"/>
      <c r="D31" s="203"/>
      <c r="E31" s="201"/>
      <c r="F31" s="202"/>
      <c r="G31" s="202"/>
      <c r="H31" s="202"/>
      <c r="I31" s="203">
        <v>236</v>
      </c>
      <c r="J31" s="201">
        <v>4.4247787610619468E-2</v>
      </c>
      <c r="K31" s="202">
        <v>-0.13553113553113552</v>
      </c>
      <c r="L31" s="202">
        <v>-0.27607361963190186</v>
      </c>
      <c r="N31" s="206"/>
      <c r="O31" s="206"/>
      <c r="P31" s="206"/>
      <c r="Q31" s="206"/>
      <c r="R31" s="206"/>
      <c r="S31" s="206"/>
      <c r="T31" s="189"/>
    </row>
    <row r="32" spans="1:21" ht="17" thickBot="1" x14ac:dyDescent="0.25">
      <c r="A32" s="227">
        <v>50</v>
      </c>
      <c r="B32" s="228" t="s">
        <v>56</v>
      </c>
      <c r="C32" s="229">
        <v>17</v>
      </c>
      <c r="D32" s="230">
        <v>40</v>
      </c>
      <c r="E32" s="231">
        <v>1.3529411764705883</v>
      </c>
      <c r="F32" s="231">
        <v>1.5</v>
      </c>
      <c r="G32" s="232" t="s">
        <v>110</v>
      </c>
      <c r="H32" s="229">
        <v>624</v>
      </c>
      <c r="I32" s="230">
        <v>616</v>
      </c>
      <c r="J32" s="233">
        <v>-1.282051282051282E-2</v>
      </c>
      <c r="K32" s="232">
        <v>-0.17426273458445041</v>
      </c>
      <c r="L32" s="234">
        <v>-0.34952481520591339</v>
      </c>
      <c r="M32" s="202" t="s">
        <v>137</v>
      </c>
      <c r="N32" s="235">
        <v>6.4935064935064929E-2</v>
      </c>
      <c r="O32" s="236">
        <v>3.7691475191475185E-2</v>
      </c>
      <c r="P32" s="236">
        <v>4.3487343755440264E-2</v>
      </c>
      <c r="Q32" s="235"/>
      <c r="R32" s="237" t="s">
        <v>138</v>
      </c>
      <c r="S32" s="237" t="s">
        <v>110</v>
      </c>
      <c r="T32" s="238" t="s">
        <v>110</v>
      </c>
      <c r="U32" s="239" t="s">
        <v>110</v>
      </c>
    </row>
    <row r="33" spans="1:21" ht="17" thickBot="1" x14ac:dyDescent="0.25">
      <c r="A33" s="240">
        <v>51</v>
      </c>
      <c r="B33" s="241" t="s">
        <v>5</v>
      </c>
      <c r="C33" s="242"/>
      <c r="D33" s="243"/>
      <c r="E33" s="244"/>
      <c r="F33" s="221"/>
      <c r="G33" s="221"/>
      <c r="H33" s="221"/>
      <c r="I33" s="243">
        <v>1285</v>
      </c>
      <c r="J33" s="244">
        <v>-2.4297646165527716E-2</v>
      </c>
      <c r="K33" s="221">
        <v>-0.1282225237449118</v>
      </c>
      <c r="L33" s="245">
        <v>-0.33142559833506763</v>
      </c>
      <c r="M33" s="221"/>
      <c r="N33" s="246"/>
      <c r="O33" s="246"/>
      <c r="P33" s="246"/>
      <c r="Q33" s="246"/>
      <c r="R33" s="246"/>
      <c r="S33" s="246"/>
      <c r="T33" s="247"/>
    </row>
    <row r="34" spans="1:21" ht="17" thickBot="1" x14ac:dyDescent="0.25">
      <c r="A34" s="183">
        <v>52</v>
      </c>
      <c r="B34" s="8" t="s">
        <v>57</v>
      </c>
      <c r="C34" s="177">
        <v>161</v>
      </c>
      <c r="D34" s="220">
        <v>176</v>
      </c>
      <c r="E34" s="201">
        <v>9.3167701863354033E-2</v>
      </c>
      <c r="F34" s="202">
        <v>4.7619047619047616E-2</v>
      </c>
      <c r="G34" s="202">
        <v>-4.3478260869565216E-2</v>
      </c>
      <c r="H34" s="177">
        <v>2153</v>
      </c>
      <c r="I34" s="248">
        <v>2103</v>
      </c>
      <c r="J34" s="201">
        <v>-2.3223409196470042E-2</v>
      </c>
      <c r="K34" s="202">
        <v>-0.17755181853734844</v>
      </c>
      <c r="L34" s="202">
        <v>-0.28396322778345251</v>
      </c>
      <c r="M34" s="202">
        <v>5.9985885673959072E-2</v>
      </c>
      <c r="N34" s="206">
        <v>8.3689966714217787E-2</v>
      </c>
      <c r="O34" s="206">
        <v>8.9105891015842514E-3</v>
      </c>
      <c r="P34" s="206">
        <v>1.7987972189383999E-2</v>
      </c>
      <c r="Q34" s="206">
        <v>2.1041005188851769E-2</v>
      </c>
      <c r="R34" s="214">
        <v>0.56521739130434778</v>
      </c>
      <c r="S34" s="214">
        <v>0.34906079427818559</v>
      </c>
      <c r="T34" s="211">
        <v>0.2</v>
      </c>
      <c r="U34" s="194">
        <v>0.1665151515151515</v>
      </c>
    </row>
    <row r="35" spans="1:21" ht="17" thickBot="1" x14ac:dyDescent="0.25">
      <c r="A35" s="198">
        <v>53</v>
      </c>
      <c r="B35" s="9" t="s">
        <v>6</v>
      </c>
      <c r="C35" s="177">
        <v>0</v>
      </c>
      <c r="D35" s="203"/>
      <c r="E35" s="201"/>
      <c r="F35" s="202"/>
      <c r="G35" s="202"/>
      <c r="H35" s="202"/>
      <c r="I35" s="203">
        <v>2460</v>
      </c>
      <c r="J35" s="201">
        <v>6.9586573884568154E-3</v>
      </c>
      <c r="K35" s="202">
        <v>-0.12928059463764269</v>
      </c>
      <c r="L35" s="202">
        <v>-0.22053231939163498</v>
      </c>
      <c r="M35" s="202"/>
      <c r="N35" s="206"/>
      <c r="O35" s="206"/>
      <c r="P35" s="206"/>
      <c r="Q35" s="206"/>
      <c r="R35" s="206"/>
      <c r="S35" s="206"/>
      <c r="T35" s="189"/>
    </row>
    <row r="36" spans="1:21" ht="17" thickBot="1" x14ac:dyDescent="0.25">
      <c r="A36" s="183">
        <v>54</v>
      </c>
      <c r="B36" s="8" t="s">
        <v>58</v>
      </c>
      <c r="C36" s="177">
        <v>174</v>
      </c>
      <c r="D36" s="203">
        <v>193</v>
      </c>
      <c r="E36" s="201">
        <v>0.10919540229885058</v>
      </c>
      <c r="F36" s="202">
        <v>0.25324675324675322</v>
      </c>
      <c r="G36" s="202">
        <v>1.0315789473684212</v>
      </c>
      <c r="H36" s="177">
        <v>2204</v>
      </c>
      <c r="I36" s="220">
        <v>2184</v>
      </c>
      <c r="J36" s="201">
        <v>-9.0744101633393835E-3</v>
      </c>
      <c r="K36" s="202">
        <v>-0.1281437125748503</v>
      </c>
      <c r="L36" s="202">
        <v>-0.21353979114151964</v>
      </c>
      <c r="M36" s="202">
        <v>4.0210447200300641E-2</v>
      </c>
      <c r="N36" s="206">
        <v>8.8369963369963375E-2</v>
      </c>
      <c r="O36" s="206">
        <v>9.422594948910748E-3</v>
      </c>
      <c r="P36" s="206">
        <v>2.6892917461779742E-2</v>
      </c>
      <c r="Q36" s="206">
        <v>5.4160384687932404E-2</v>
      </c>
      <c r="R36" s="217">
        <v>-0.14285714285714285</v>
      </c>
      <c r="S36" s="217">
        <v>0.10887916431394692</v>
      </c>
      <c r="T36" s="224" t="s">
        <v>110</v>
      </c>
      <c r="U36" s="225" t="s">
        <v>110</v>
      </c>
    </row>
    <row r="37" spans="1:21" ht="17" thickBot="1" x14ac:dyDescent="0.25">
      <c r="A37" s="183">
        <v>57</v>
      </c>
      <c r="B37" s="8" t="s">
        <v>59</v>
      </c>
      <c r="C37" s="177">
        <v>840.99999999999989</v>
      </c>
      <c r="D37" s="212">
        <v>925</v>
      </c>
      <c r="E37" s="185">
        <v>9.9881093935790727E-2</v>
      </c>
      <c r="F37" s="186">
        <v>0.28830083565459608</v>
      </c>
      <c r="G37" s="186">
        <v>0.57045840407470294</v>
      </c>
      <c r="H37" s="177">
        <v>13520</v>
      </c>
      <c r="I37" s="203">
        <v>13012</v>
      </c>
      <c r="J37" s="204">
        <v>-3.7573964497041423E-2</v>
      </c>
      <c r="K37" s="202">
        <v>-0.13108514190317194</v>
      </c>
      <c r="L37" s="202">
        <v>-0.24436701509872241</v>
      </c>
      <c r="M37" s="202">
        <v>3.7615499254843518E-2</v>
      </c>
      <c r="N37" s="206">
        <v>7.1088226252689818E-2</v>
      </c>
      <c r="O37" s="206">
        <v>8.8840842408554957E-3</v>
      </c>
      <c r="P37" s="206">
        <v>2.3141648623307517E-2</v>
      </c>
      <c r="Q37" s="206">
        <v>3.6883812779983663E-2</v>
      </c>
      <c r="R37" s="206">
        <v>0.29702970297029702</v>
      </c>
      <c r="S37" s="206">
        <v>0.25562126002047425</v>
      </c>
      <c r="T37" s="189">
        <v>0.42222222222222222</v>
      </c>
      <c r="U37" s="190">
        <v>0.36497433393985118</v>
      </c>
    </row>
    <row r="38" spans="1:21" ht="17" thickBot="1" x14ac:dyDescent="0.25">
      <c r="A38" s="183">
        <v>58</v>
      </c>
      <c r="B38" s="8" t="s">
        <v>60</v>
      </c>
      <c r="C38" s="177">
        <v>167</v>
      </c>
      <c r="D38" s="248">
        <v>178</v>
      </c>
      <c r="E38" s="201">
        <v>6.5868263473053898E-2</v>
      </c>
      <c r="F38" s="202">
        <v>5.9523809523809521E-2</v>
      </c>
      <c r="G38" s="204">
        <v>-0.10552763819095477</v>
      </c>
      <c r="H38" s="177">
        <v>2505</v>
      </c>
      <c r="I38" s="203">
        <v>2397</v>
      </c>
      <c r="J38" s="249">
        <v>-4.3113772455089822E-2</v>
      </c>
      <c r="K38" s="202">
        <v>-0.1248630887185104</v>
      </c>
      <c r="L38" s="202">
        <v>-0.25327102803738316</v>
      </c>
      <c r="M38" s="202">
        <v>6.028589185829708E-2</v>
      </c>
      <c r="N38" s="206">
        <v>7.4259491030454733E-2</v>
      </c>
      <c r="O38" s="206">
        <v>7.5928243637880671E-3</v>
      </c>
      <c r="P38" s="206">
        <v>1.2923236923116289E-2</v>
      </c>
      <c r="Q38" s="206">
        <v>1.226572156004975E-2</v>
      </c>
      <c r="R38" s="206">
        <v>0.15</v>
      </c>
      <c r="S38" s="206">
        <v>0.24958204334365322</v>
      </c>
      <c r="T38" s="226">
        <v>0.94117647058823528</v>
      </c>
      <c r="U38" s="197">
        <v>0.82440812863606983</v>
      </c>
    </row>
    <row r="39" spans="1:21" ht="16.5" customHeight="1" thickBot="1" x14ac:dyDescent="0.25">
      <c r="A39" s="183">
        <v>59</v>
      </c>
      <c r="B39" s="8" t="s">
        <v>61</v>
      </c>
      <c r="C39" s="177">
        <v>384</v>
      </c>
      <c r="D39" s="212">
        <v>393</v>
      </c>
      <c r="E39" s="201">
        <v>2.34375E-2</v>
      </c>
      <c r="F39" s="202">
        <v>-1.9950124688279301E-2</v>
      </c>
      <c r="G39" s="202">
        <v>0.23974763406940064</v>
      </c>
      <c r="H39" s="177">
        <v>3734</v>
      </c>
      <c r="I39" s="212">
        <v>3646</v>
      </c>
      <c r="J39" s="201">
        <v>-2.3567220139260846E-2</v>
      </c>
      <c r="K39" s="202">
        <v>-0.15090824406148112</v>
      </c>
      <c r="L39" s="202">
        <v>-0.24840239125953412</v>
      </c>
      <c r="M39" s="202">
        <v>7.087923508626065E-2</v>
      </c>
      <c r="N39" s="206">
        <v>0.10778935820076796</v>
      </c>
      <c r="O39" s="206">
        <v>4.9505794112660872E-3</v>
      </c>
      <c r="P39" s="206">
        <v>1.4403238033092139E-2</v>
      </c>
      <c r="Q39" s="206">
        <v>4.2442007139131183E-2</v>
      </c>
      <c r="R39" s="214">
        <v>0.35</v>
      </c>
      <c r="S39" s="214">
        <v>0.4042130877508236</v>
      </c>
      <c r="T39" s="189">
        <v>0.48148148148148145</v>
      </c>
      <c r="U39" s="190">
        <v>0.46897986272986281</v>
      </c>
    </row>
    <row r="40" spans="1:21" ht="17" thickBot="1" x14ac:dyDescent="0.25">
      <c r="A40" s="183">
        <v>60</v>
      </c>
      <c r="B40" s="8" t="s">
        <v>62</v>
      </c>
      <c r="C40" s="177">
        <v>328</v>
      </c>
      <c r="D40" s="250">
        <v>343</v>
      </c>
      <c r="E40" s="251">
        <v>4.573170731707317E-2</v>
      </c>
      <c r="F40" s="210">
        <v>-3.1073446327683617E-2</v>
      </c>
      <c r="G40" s="213">
        <v>-4.456824512534819E-2</v>
      </c>
      <c r="H40" s="177">
        <v>5861</v>
      </c>
      <c r="I40" s="203">
        <v>5927</v>
      </c>
      <c r="J40" s="216">
        <v>1.1260876983449923E-2</v>
      </c>
      <c r="K40" s="202">
        <v>-1.4302344919341427E-2</v>
      </c>
      <c r="L40" s="202">
        <v>-1.9682434667548793E-2</v>
      </c>
      <c r="M40" s="202">
        <v>5.3541735949451282E-2</v>
      </c>
      <c r="N40" s="206">
        <v>5.7870760924582418E-2</v>
      </c>
      <c r="O40" s="206">
        <v>1.9076147038009778E-3</v>
      </c>
      <c r="P40" s="214">
        <v>-1.001682115497407E-3</v>
      </c>
      <c r="Q40" s="214">
        <v>-1.5073402993672977E-3</v>
      </c>
      <c r="R40" s="214">
        <v>0.36363636363636365</v>
      </c>
      <c r="S40" s="214">
        <v>0.34233105650221018</v>
      </c>
      <c r="T40" s="226">
        <v>0.64102564102564108</v>
      </c>
      <c r="U40" s="197">
        <v>0.64902237402237406</v>
      </c>
    </row>
    <row r="41" spans="1:21" ht="17" thickBot="1" x14ac:dyDescent="0.25">
      <c r="A41" s="183">
        <v>61</v>
      </c>
      <c r="B41" s="8" t="s">
        <v>63</v>
      </c>
      <c r="C41" s="177">
        <v>3478</v>
      </c>
      <c r="D41" s="215">
        <v>3609</v>
      </c>
      <c r="E41" s="201">
        <v>3.7665324899367456E-2</v>
      </c>
      <c r="F41" s="202">
        <v>0.25530434782608696</v>
      </c>
      <c r="G41" s="202">
        <v>0.85648148148148151</v>
      </c>
      <c r="H41" s="177">
        <v>19864</v>
      </c>
      <c r="I41" s="203">
        <v>19500</v>
      </c>
      <c r="J41" s="201">
        <v>-1.832460732984293E-2</v>
      </c>
      <c r="K41" s="202">
        <v>-5.0309258267179663E-2</v>
      </c>
      <c r="L41" s="202">
        <v>-9.3107617896009673E-2</v>
      </c>
      <c r="M41" s="202">
        <v>0.10235261036648233</v>
      </c>
      <c r="N41" s="217">
        <v>0.18507692307692308</v>
      </c>
      <c r="O41" s="206">
        <v>9.9863068868304428E-3</v>
      </c>
      <c r="P41" s="217">
        <v>4.5058416282981628E-2</v>
      </c>
      <c r="Q41" s="217">
        <v>9.4666728676402204E-2</v>
      </c>
      <c r="R41" s="206">
        <v>0.22884012539184953</v>
      </c>
      <c r="S41" s="206">
        <v>0.21691431911110751</v>
      </c>
      <c r="T41" s="189">
        <v>0.36842105263157893</v>
      </c>
      <c r="U41" s="190">
        <v>0.44579370072629254</v>
      </c>
    </row>
    <row r="42" spans="1:21" ht="17" thickBot="1" x14ac:dyDescent="0.25">
      <c r="A42" s="183">
        <v>62</v>
      </c>
      <c r="B42" s="8" t="s">
        <v>64</v>
      </c>
      <c r="C42" s="177">
        <v>993</v>
      </c>
      <c r="D42" s="203">
        <v>1031</v>
      </c>
      <c r="E42" s="201">
        <v>3.8267875125881166E-2</v>
      </c>
      <c r="F42" s="216">
        <v>0.55740181268882172</v>
      </c>
      <c r="G42" s="216">
        <v>1.3701149425287356</v>
      </c>
      <c r="H42" s="177">
        <v>9963</v>
      </c>
      <c r="I42" s="203">
        <v>9946</v>
      </c>
      <c r="J42" s="201">
        <v>-1.7063133594298907E-3</v>
      </c>
      <c r="K42" s="216">
        <v>8.7469932210802542E-2</v>
      </c>
      <c r="L42" s="216">
        <v>6.716738197424893E-2</v>
      </c>
      <c r="M42" s="202">
        <v>4.5361930294906164E-2</v>
      </c>
      <c r="N42" s="206">
        <v>0.10365976271868088</v>
      </c>
      <c r="O42" s="206">
        <v>3.9909882531584534E-3</v>
      </c>
      <c r="P42" s="206">
        <v>3.1278393814241787E-2</v>
      </c>
      <c r="Q42" s="206">
        <v>5.6985942976191611E-2</v>
      </c>
      <c r="R42" s="206">
        <v>0.18072289156626506</v>
      </c>
      <c r="S42" s="206">
        <v>0.15751657460796065</v>
      </c>
      <c r="T42" s="189">
        <v>0.453125</v>
      </c>
      <c r="U42" s="190">
        <v>0.31213895730706076</v>
      </c>
    </row>
    <row r="43" spans="1:21" ht="17" thickBot="1" x14ac:dyDescent="0.25">
      <c r="A43" s="183">
        <v>63</v>
      </c>
      <c r="B43" s="8" t="s">
        <v>65</v>
      </c>
      <c r="C43" s="177">
        <v>905</v>
      </c>
      <c r="D43" s="203">
        <v>895</v>
      </c>
      <c r="E43" s="204">
        <v>-1.1049723756906077E-2</v>
      </c>
      <c r="F43" s="202">
        <v>5.5424528301886794E-2</v>
      </c>
      <c r="G43" s="202">
        <v>0.16536458333333334</v>
      </c>
      <c r="H43" s="177">
        <v>10228</v>
      </c>
      <c r="I43" s="203">
        <v>9815</v>
      </c>
      <c r="J43" s="204">
        <v>-4.0379350801720768E-2</v>
      </c>
      <c r="K43" s="216">
        <v>7.3381452318460189E-2</v>
      </c>
      <c r="L43" s="216">
        <v>3.8954165343495287E-2</v>
      </c>
      <c r="M43" s="202">
        <v>8.4338635635742495E-2</v>
      </c>
      <c r="N43" s="206">
        <v>9.1186958736627605E-2</v>
      </c>
      <c r="O43" s="206">
        <v>2.7043619435106747E-3</v>
      </c>
      <c r="P43" s="214">
        <v>-1.5514489624100097E-3</v>
      </c>
      <c r="Q43" s="214">
        <v>9.8913093241156935E-3</v>
      </c>
      <c r="R43" s="206">
        <v>0.13095238095238096</v>
      </c>
      <c r="S43" s="217">
        <v>0.11047801006405382</v>
      </c>
      <c r="T43" s="189" t="s">
        <v>138</v>
      </c>
      <c r="U43" s="190">
        <v>0.30777343496330933</v>
      </c>
    </row>
    <row r="44" spans="1:21" ht="17" thickBot="1" x14ac:dyDescent="0.25">
      <c r="A44" s="183">
        <v>64</v>
      </c>
      <c r="B44" s="8" t="s">
        <v>66</v>
      </c>
      <c r="C44" s="177">
        <v>184.99999999999997</v>
      </c>
      <c r="D44" s="212">
        <v>215</v>
      </c>
      <c r="E44" s="187">
        <v>0.16216216216216217</v>
      </c>
      <c r="F44" s="187">
        <v>0.44295302013422821</v>
      </c>
      <c r="G44" s="186">
        <v>0.27976190476190477</v>
      </c>
      <c r="H44" s="177">
        <v>1786</v>
      </c>
      <c r="I44" s="220">
        <v>1757</v>
      </c>
      <c r="J44" s="185">
        <v>-1.6237402015677492E-2</v>
      </c>
      <c r="K44" s="187">
        <v>6.484848484848485E-2</v>
      </c>
      <c r="L44" s="186">
        <v>-2.116991643454039E-2</v>
      </c>
      <c r="M44" s="186">
        <v>9.0028490028490032E-2</v>
      </c>
      <c r="N44" s="206">
        <v>0.12236767216846899</v>
      </c>
      <c r="O44" s="217">
        <v>1.8784245516733258E-2</v>
      </c>
      <c r="P44" s="206">
        <v>3.2064641865438684E-2</v>
      </c>
      <c r="Q44" s="206">
        <v>2.8774357405237788E-2</v>
      </c>
      <c r="R44" s="223" t="s">
        <v>110</v>
      </c>
      <c r="S44" s="223" t="s">
        <v>110</v>
      </c>
      <c r="T44" s="226">
        <v>0.84615384615384615</v>
      </c>
      <c r="U44" s="197">
        <v>0.72818720705817486</v>
      </c>
    </row>
    <row r="45" spans="1:21" ht="17" thickBot="1" x14ac:dyDescent="0.25">
      <c r="A45" s="183">
        <v>67</v>
      </c>
      <c r="B45" s="8" t="s">
        <v>67</v>
      </c>
      <c r="C45" s="177">
        <v>666</v>
      </c>
      <c r="D45" s="203">
        <v>676</v>
      </c>
      <c r="E45" s="201">
        <v>1.5015015015015015E-2</v>
      </c>
      <c r="F45" s="202">
        <v>0.10097719869706841</v>
      </c>
      <c r="G45" s="202">
        <v>0.59433962264150941</v>
      </c>
      <c r="H45" s="177">
        <v>6017</v>
      </c>
      <c r="I45" s="203">
        <v>5864</v>
      </c>
      <c r="J45" s="201">
        <v>-2.54279541299651E-2</v>
      </c>
      <c r="K45" s="202">
        <v>-0.13510324483775812</v>
      </c>
      <c r="L45" s="202">
        <v>-0.21278023895824943</v>
      </c>
      <c r="M45" s="202">
        <v>6.2163616792249729E-2</v>
      </c>
      <c r="N45" s="206">
        <v>0.11527967257844475</v>
      </c>
      <c r="O45" s="206">
        <v>4.5932840127143187E-3</v>
      </c>
      <c r="P45" s="206">
        <v>2.4719200602043565E-2</v>
      </c>
      <c r="Q45" s="206">
        <v>5.8359280579518717E-2</v>
      </c>
      <c r="R45" s="223" t="s">
        <v>110</v>
      </c>
      <c r="S45" s="223" t="s">
        <v>110</v>
      </c>
      <c r="T45" s="189">
        <v>0.35294117647058826</v>
      </c>
      <c r="U45" s="190">
        <v>0.34874266596624298</v>
      </c>
    </row>
    <row r="46" spans="1:21" ht="17" thickBot="1" x14ac:dyDescent="0.25">
      <c r="A46" s="227">
        <v>68</v>
      </c>
      <c r="B46" s="228" t="s">
        <v>68</v>
      </c>
      <c r="C46" s="229">
        <v>1325</v>
      </c>
      <c r="D46" s="252">
        <v>1386</v>
      </c>
      <c r="E46" s="253">
        <v>4.6037735849056606E-2</v>
      </c>
      <c r="F46" s="254">
        <v>0.1765704584040747</v>
      </c>
      <c r="G46" s="254">
        <v>0.52475247524752477</v>
      </c>
      <c r="H46" s="229">
        <v>13971</v>
      </c>
      <c r="I46" s="255">
        <v>13875</v>
      </c>
      <c r="J46" s="233">
        <v>-6.8713764225896501E-3</v>
      </c>
      <c r="K46" s="232">
        <v>-6.464877983011999E-2</v>
      </c>
      <c r="L46" s="232">
        <v>-0.14777962041643633</v>
      </c>
      <c r="M46" s="232">
        <v>6.0562678949333995E-2</v>
      </c>
      <c r="N46" s="235">
        <v>9.989189189189189E-2</v>
      </c>
      <c r="O46" s="235">
        <v>5.0525818926076549E-3</v>
      </c>
      <c r="P46" s="235">
        <v>2.0479730640712165E-2</v>
      </c>
      <c r="Q46" s="235">
        <v>4.4059940537552474E-2</v>
      </c>
      <c r="R46" s="237">
        <v>0.21333333333333335</v>
      </c>
      <c r="S46" s="237">
        <v>0.19351526807034578</v>
      </c>
      <c r="T46" s="256">
        <v>0.4606741573033708</v>
      </c>
      <c r="U46" s="257">
        <v>0.43520451221451617</v>
      </c>
    </row>
    <row r="47" spans="1:21" ht="17" thickBot="1" x14ac:dyDescent="0.25">
      <c r="A47" s="258">
        <v>69</v>
      </c>
      <c r="B47" s="259" t="s">
        <v>69</v>
      </c>
      <c r="C47" s="242">
        <v>376.99999999999994</v>
      </c>
      <c r="D47" s="260">
        <v>379</v>
      </c>
      <c r="E47" s="244">
        <v>5.3050397877984082E-3</v>
      </c>
      <c r="F47" s="245">
        <v>-0.12064965197215777</v>
      </c>
      <c r="G47" s="221">
        <v>0.20317460317460317</v>
      </c>
      <c r="H47" s="242">
        <v>4245</v>
      </c>
      <c r="I47" s="243">
        <v>4233</v>
      </c>
      <c r="J47" s="244">
        <v>-2.8268551236749115E-3</v>
      </c>
      <c r="K47" s="221">
        <v>-0.13858363858363859</v>
      </c>
      <c r="L47" s="221">
        <v>-0.20402406919894697</v>
      </c>
      <c r="M47" s="221">
        <v>5.2212553230883169E-2</v>
      </c>
      <c r="N47" s="246">
        <v>8.953460902433262E-2</v>
      </c>
      <c r="O47" s="246">
        <v>7.2424388887915025E-4</v>
      </c>
      <c r="P47" s="246">
        <v>1.8260213157449134E-3</v>
      </c>
      <c r="Q47" s="246">
        <v>3.0301814740767367E-2</v>
      </c>
      <c r="R47" s="261">
        <v>0.10256410256410256</v>
      </c>
      <c r="S47" s="261">
        <v>0.24871473957831908</v>
      </c>
      <c r="T47" s="247">
        <v>0.51724137931034486</v>
      </c>
      <c r="U47" s="190">
        <v>0.44592354616342622</v>
      </c>
    </row>
    <row r="48" spans="1:21" ht="17" thickBot="1" x14ac:dyDescent="0.25">
      <c r="A48" s="183">
        <v>70</v>
      </c>
      <c r="B48" s="8" t="s">
        <v>70</v>
      </c>
      <c r="C48" s="177">
        <v>408.00000000000006</v>
      </c>
      <c r="D48" s="203">
        <v>417</v>
      </c>
      <c r="E48" s="201">
        <v>2.2058823529411766E-2</v>
      </c>
      <c r="F48" s="202">
        <v>0.28307692307692306</v>
      </c>
      <c r="G48" s="202">
        <v>0.66800000000000004</v>
      </c>
      <c r="H48" s="177">
        <v>3803</v>
      </c>
      <c r="I48" s="203">
        <v>3722</v>
      </c>
      <c r="J48" s="201">
        <v>-2.1298974493820667E-2</v>
      </c>
      <c r="K48" s="202">
        <v>-0.13902382604672681</v>
      </c>
      <c r="L48" s="202">
        <v>-0.25140788415124699</v>
      </c>
      <c r="M48" s="202">
        <v>5.3956834532374098E-2</v>
      </c>
      <c r="N48" s="206">
        <v>0.11203653949489521</v>
      </c>
      <c r="O48" s="206">
        <v>4.7528161186133344E-3</v>
      </c>
      <c r="P48" s="206">
        <v>3.6857265842339115E-2</v>
      </c>
      <c r="Q48" s="206">
        <v>6.1754962664645814E-2</v>
      </c>
      <c r="R48" s="223">
        <v>0.28947368421052633</v>
      </c>
      <c r="S48" s="223">
        <v>0.24461419385567992</v>
      </c>
      <c r="T48" s="189">
        <v>0.35714285714285715</v>
      </c>
      <c r="U48" s="190">
        <v>0.43566863088602215</v>
      </c>
    </row>
    <row r="49" spans="1:21" ht="17" thickBot="1" x14ac:dyDescent="0.25">
      <c r="A49" s="183">
        <v>71</v>
      </c>
      <c r="B49" s="8" t="s">
        <v>71</v>
      </c>
      <c r="C49" s="177">
        <v>1117</v>
      </c>
      <c r="D49" s="203">
        <v>1157</v>
      </c>
      <c r="E49" s="201">
        <v>3.5810205908683973E-2</v>
      </c>
      <c r="F49" s="202">
        <v>0.33602771362586603</v>
      </c>
      <c r="G49" s="202">
        <v>0.8936170212765957</v>
      </c>
      <c r="H49" s="177">
        <v>9877</v>
      </c>
      <c r="I49" s="203">
        <v>8668</v>
      </c>
      <c r="J49" s="204">
        <v>-0.1224055887415207</v>
      </c>
      <c r="K49" s="202">
        <v>-4.2950204261896878E-2</v>
      </c>
      <c r="L49" s="202">
        <v>-0.14651437573847972</v>
      </c>
      <c r="M49" s="202">
        <v>6.0280842527582749E-2</v>
      </c>
      <c r="N49" s="217">
        <v>0.1334794646977388</v>
      </c>
      <c r="O49" s="217">
        <v>2.0388445157392548E-2</v>
      </c>
      <c r="P49" s="217">
        <v>3.7862814592847557E-2</v>
      </c>
      <c r="Q49" s="217">
        <v>7.3317983799747466E-2</v>
      </c>
      <c r="R49" s="223">
        <v>0.26595744680851063</v>
      </c>
      <c r="S49" s="223">
        <v>0.174947383326962</v>
      </c>
      <c r="T49" s="211">
        <v>0</v>
      </c>
      <c r="U49" s="194">
        <v>0.21865631929046564</v>
      </c>
    </row>
    <row r="50" spans="1:21" ht="17" thickBot="1" x14ac:dyDescent="0.25">
      <c r="A50" s="183">
        <v>72</v>
      </c>
      <c r="B50" s="8" t="s">
        <v>72</v>
      </c>
      <c r="C50" s="177">
        <v>826.00000000000011</v>
      </c>
      <c r="D50" s="203">
        <v>836</v>
      </c>
      <c r="E50" s="201">
        <v>1.2106537530266344E-2</v>
      </c>
      <c r="F50" s="202">
        <v>7.7319587628865982E-2</v>
      </c>
      <c r="G50" s="202">
        <v>0.27245053272450531</v>
      </c>
      <c r="H50" s="177">
        <v>5228</v>
      </c>
      <c r="I50" s="203">
        <v>5205</v>
      </c>
      <c r="J50" s="201">
        <v>-4.399387911247131E-3</v>
      </c>
      <c r="K50" s="202">
        <v>-9.1781538998429599E-2</v>
      </c>
      <c r="L50" s="202">
        <v>-0.21422101449275363</v>
      </c>
      <c r="M50" s="202">
        <v>0.10872941907424666</v>
      </c>
      <c r="N50" s="218">
        <v>0.1606147934678194</v>
      </c>
      <c r="O50" s="219">
        <v>2.6193841334659074E-3</v>
      </c>
      <c r="P50" s="219">
        <v>2.5210850002455598E-2</v>
      </c>
      <c r="Q50" s="219">
        <v>6.1430010859123751E-2</v>
      </c>
      <c r="R50" s="262">
        <v>0.17567567567567569</v>
      </c>
      <c r="S50" s="262">
        <v>0.25959659575900407</v>
      </c>
      <c r="T50" s="189">
        <v>0.36486486486486486</v>
      </c>
      <c r="U50" s="190">
        <v>0.3976332295946704</v>
      </c>
    </row>
    <row r="51" spans="1:21" ht="17" thickBot="1" x14ac:dyDescent="0.25">
      <c r="A51" s="263">
        <v>73</v>
      </c>
      <c r="B51" s="264" t="s">
        <v>73</v>
      </c>
      <c r="C51" s="265">
        <v>1093</v>
      </c>
      <c r="D51" s="250">
        <v>1132</v>
      </c>
      <c r="E51" s="251">
        <v>3.5681610247026534E-2</v>
      </c>
      <c r="F51" s="210">
        <v>0.19032597266035753</v>
      </c>
      <c r="G51" s="210">
        <v>0.41677096370463079</v>
      </c>
      <c r="H51" s="265">
        <v>14792</v>
      </c>
      <c r="I51" s="250">
        <v>14459</v>
      </c>
      <c r="J51" s="251">
        <v>-2.2512168739859385E-2</v>
      </c>
      <c r="K51" s="210">
        <v>-3.3230810377106179E-2</v>
      </c>
      <c r="L51" s="210">
        <v>-9.8116267465069865E-2</v>
      </c>
      <c r="M51" s="210">
        <v>5.0685710674334826E-2</v>
      </c>
      <c r="N51" s="266">
        <v>7.829033819766236E-2</v>
      </c>
      <c r="O51" s="266">
        <v>4.3990456070728545E-3</v>
      </c>
      <c r="P51" s="266">
        <v>1.4703817737646313E-2</v>
      </c>
      <c r="Q51" s="266">
        <v>2.8452513846364956E-2</v>
      </c>
      <c r="R51" s="266">
        <v>0.10416666666666667</v>
      </c>
      <c r="S51" s="267">
        <v>0.11347585672716713</v>
      </c>
      <c r="T51" s="268">
        <v>0.19298245614035087</v>
      </c>
      <c r="U51" s="194">
        <v>0.15616924105888449</v>
      </c>
    </row>
    <row r="52" spans="1:21" ht="17" thickBot="1" x14ac:dyDescent="0.25">
      <c r="A52" s="269">
        <v>74</v>
      </c>
      <c r="B52" s="270" t="s">
        <v>15</v>
      </c>
      <c r="C52" s="271"/>
      <c r="D52" s="272"/>
      <c r="E52" s="273"/>
      <c r="F52" s="274"/>
      <c r="G52" s="274"/>
      <c r="H52" s="274"/>
      <c r="I52" s="272">
        <v>1155</v>
      </c>
      <c r="J52" s="273">
        <v>-4.4665012406947889E-2</v>
      </c>
      <c r="K52" s="275">
        <v>-0.29314565483476135</v>
      </c>
      <c r="L52" s="275">
        <v>-0.42307692307692307</v>
      </c>
      <c r="M52" s="274"/>
      <c r="N52" s="276"/>
      <c r="O52" s="276"/>
      <c r="P52" s="276"/>
      <c r="Q52" s="276"/>
      <c r="R52" s="276"/>
      <c r="S52" s="276"/>
      <c r="T52" s="277"/>
      <c r="U52" s="278"/>
    </row>
    <row r="53" spans="1:21" ht="17" thickBot="1" x14ac:dyDescent="0.25">
      <c r="A53" s="279">
        <v>75</v>
      </c>
      <c r="B53" s="8" t="s">
        <v>74</v>
      </c>
      <c r="C53" s="177">
        <v>468</v>
      </c>
      <c r="D53" s="203">
        <v>473</v>
      </c>
      <c r="E53" s="201">
        <v>1.0683760683760684E-2</v>
      </c>
      <c r="F53" s="202">
        <v>8.2379862700228831E-2</v>
      </c>
      <c r="G53" s="202">
        <v>9.237875288683603E-2</v>
      </c>
      <c r="H53" s="177">
        <v>6031</v>
      </c>
      <c r="I53" s="203">
        <v>5990</v>
      </c>
      <c r="J53" s="201">
        <v>-6.7982092521969824E-3</v>
      </c>
      <c r="K53" s="202">
        <v>-0.1088961618565903</v>
      </c>
      <c r="L53" s="202">
        <v>-0.2171981181390486</v>
      </c>
      <c r="M53" s="202">
        <v>5.7468148549742477E-2</v>
      </c>
      <c r="N53" s="206">
        <v>7.8964941569282132E-2</v>
      </c>
      <c r="O53" s="206">
        <v>1.3658701051799949E-3</v>
      </c>
      <c r="P53" s="206">
        <v>1.3954528001891481E-2</v>
      </c>
      <c r="Q53" s="206">
        <v>2.2378428239433729E-2</v>
      </c>
      <c r="R53" s="214">
        <v>0.38596491228070173</v>
      </c>
      <c r="S53" s="206">
        <v>0.32072273039068627</v>
      </c>
      <c r="T53" s="226">
        <v>0.58974358974358976</v>
      </c>
      <c r="U53" s="280">
        <v>0.47005599764220457</v>
      </c>
    </row>
    <row r="54" spans="1:21" ht="17" thickBot="1" x14ac:dyDescent="0.25">
      <c r="A54" s="281">
        <v>78</v>
      </c>
      <c r="B54" s="9" t="s">
        <v>9</v>
      </c>
      <c r="C54" s="177"/>
      <c r="D54" s="203"/>
      <c r="E54" s="201"/>
      <c r="F54" s="202"/>
      <c r="G54" s="202"/>
      <c r="H54" s="202"/>
      <c r="I54" s="203">
        <v>1689</v>
      </c>
      <c r="J54" s="201">
        <v>-2.9867892016082712E-2</v>
      </c>
      <c r="K54" s="202">
        <v>-0.1696165191740413</v>
      </c>
      <c r="L54" s="202">
        <v>-0.29033613445378154</v>
      </c>
      <c r="M54" s="202"/>
      <c r="N54" s="206"/>
      <c r="O54" s="206"/>
      <c r="P54" s="206"/>
      <c r="Q54" s="206"/>
      <c r="R54" s="206"/>
      <c r="S54" s="206"/>
      <c r="T54" s="189"/>
      <c r="U54" s="282"/>
    </row>
    <row r="55" spans="1:21" ht="17" thickBot="1" x14ac:dyDescent="0.25">
      <c r="A55" s="279">
        <v>79</v>
      </c>
      <c r="B55" s="8" t="s">
        <v>75</v>
      </c>
      <c r="C55" s="177">
        <v>883.00000000000011</v>
      </c>
      <c r="D55" s="212">
        <v>928</v>
      </c>
      <c r="E55" s="201">
        <v>5.0962627406568518E-2</v>
      </c>
      <c r="F55" s="202">
        <v>0.38095238095238093</v>
      </c>
      <c r="G55" s="202">
        <v>0.9173553719008265</v>
      </c>
      <c r="H55" s="177">
        <v>7906</v>
      </c>
      <c r="I55" s="203">
        <v>7682</v>
      </c>
      <c r="J55" s="201">
        <v>-2.8332911712623324E-2</v>
      </c>
      <c r="K55" s="202">
        <v>-0.12793733681462141</v>
      </c>
      <c r="L55" s="202">
        <v>-0.23721576804686725</v>
      </c>
      <c r="M55" s="202">
        <v>5.2279088364654142E-2</v>
      </c>
      <c r="N55" s="206">
        <v>0.12080187451184587</v>
      </c>
      <c r="O55" s="206">
        <v>9.1145484303887525E-3</v>
      </c>
      <c r="P55" s="217">
        <v>4.4516257529214481E-2</v>
      </c>
      <c r="Q55" s="217">
        <v>7.274309186861283E-2</v>
      </c>
      <c r="R55" s="206">
        <v>0.17307692307692307</v>
      </c>
      <c r="S55" s="206">
        <v>0.17718571625971857</v>
      </c>
      <c r="T55" s="189">
        <v>0.55882352941176472</v>
      </c>
      <c r="U55" s="280">
        <v>0.47728584325171558</v>
      </c>
    </row>
    <row r="56" spans="1:21" ht="17" thickBot="1" x14ac:dyDescent="0.25">
      <c r="A56" s="283">
        <v>81</v>
      </c>
      <c r="B56" s="284" t="s">
        <v>7</v>
      </c>
      <c r="C56" s="229"/>
      <c r="D56" s="255"/>
      <c r="E56" s="233"/>
      <c r="F56" s="232"/>
      <c r="G56" s="232"/>
      <c r="H56" s="232"/>
      <c r="I56" s="255">
        <v>817</v>
      </c>
      <c r="J56" s="233">
        <v>-6.9476082004555809E-2</v>
      </c>
      <c r="K56" s="232">
        <v>-8.202247191011236E-2</v>
      </c>
      <c r="L56" s="232">
        <v>-0.32479338842975208</v>
      </c>
      <c r="M56" s="232"/>
      <c r="N56" s="235"/>
      <c r="O56" s="235"/>
      <c r="P56" s="235"/>
      <c r="Q56" s="235"/>
      <c r="R56" s="235"/>
      <c r="S56" s="235"/>
      <c r="T56" s="256"/>
      <c r="U56" s="285"/>
    </row>
    <row r="57" spans="1:21" ht="17" thickBot="1" x14ac:dyDescent="0.25">
      <c r="A57" s="240">
        <v>82</v>
      </c>
      <c r="B57" s="241" t="s">
        <v>76</v>
      </c>
      <c r="C57" s="242">
        <v>395</v>
      </c>
      <c r="D57" s="243">
        <v>423</v>
      </c>
      <c r="E57" s="244">
        <v>7.0886075949367092E-2</v>
      </c>
      <c r="F57" s="221">
        <v>0.2740963855421687</v>
      </c>
      <c r="G57" s="221">
        <v>4.1871921182266007E-2</v>
      </c>
      <c r="H57" s="242">
        <v>4953</v>
      </c>
      <c r="I57" s="243">
        <v>4963</v>
      </c>
      <c r="J57" s="244">
        <v>2.0189783969311527E-3</v>
      </c>
      <c r="K57" s="221">
        <v>-0.10560461344386377</v>
      </c>
      <c r="L57" s="221">
        <v>-0.25165862484921592</v>
      </c>
      <c r="M57" s="221">
        <v>5.4530874097834803E-2</v>
      </c>
      <c r="N57" s="246">
        <v>8.5230707233528102E-2</v>
      </c>
      <c r="O57" s="246">
        <v>5.4810605547475633E-3</v>
      </c>
      <c r="P57" s="246">
        <v>2.5400107125400515E-2</v>
      </c>
      <c r="Q57" s="246">
        <v>2.4012371889740404E-2</v>
      </c>
      <c r="R57" s="246">
        <v>0.10810810810810811</v>
      </c>
      <c r="S57" s="246">
        <v>0.24234371271350028</v>
      </c>
      <c r="T57" s="247">
        <v>0.41666666666666669</v>
      </c>
      <c r="U57" s="190">
        <v>0.42415824915824912</v>
      </c>
    </row>
    <row r="58" spans="1:21" ht="17" thickBot="1" x14ac:dyDescent="0.25">
      <c r="A58" s="198">
        <v>83</v>
      </c>
      <c r="B58" s="9" t="s">
        <v>77</v>
      </c>
      <c r="C58" s="177">
        <v>685</v>
      </c>
      <c r="D58" s="203">
        <v>739</v>
      </c>
      <c r="E58" s="201">
        <v>7.8832116788321166E-2</v>
      </c>
      <c r="F58" s="216">
        <v>0.57569296375266521</v>
      </c>
      <c r="G58" s="216">
        <v>3.9932432432432434</v>
      </c>
      <c r="H58" s="177">
        <v>6072</v>
      </c>
      <c r="I58" s="203">
        <v>5957</v>
      </c>
      <c r="J58" s="201">
        <v>-1.893939393939394E-2</v>
      </c>
      <c r="K58" s="202">
        <v>-0.17160339313030176</v>
      </c>
      <c r="L58" s="202">
        <v>-0.27741387675885493</v>
      </c>
      <c r="M58" s="202">
        <v>3.1153034628273551E-2</v>
      </c>
      <c r="N58" s="206">
        <v>0.12405573275138493</v>
      </c>
      <c r="O58" s="217">
        <v>1.1242821025429728E-2</v>
      </c>
      <c r="P58" s="217">
        <v>5.8835318344487422E-2</v>
      </c>
      <c r="Q58" s="217">
        <v>0.10610328248452418</v>
      </c>
      <c r="R58" s="217">
        <v>0</v>
      </c>
      <c r="S58" s="217">
        <v>-4.0280916624140364E-2</v>
      </c>
      <c r="T58" s="189">
        <v>0.25</v>
      </c>
      <c r="U58" s="194">
        <v>0.24898989898989898</v>
      </c>
    </row>
    <row r="59" spans="1:21" ht="17" thickBot="1" x14ac:dyDescent="0.25">
      <c r="A59" s="198">
        <v>84</v>
      </c>
      <c r="B59" s="9" t="s">
        <v>11</v>
      </c>
      <c r="C59" s="177"/>
      <c r="D59" s="203"/>
      <c r="E59" s="201"/>
      <c r="F59" s="202"/>
      <c r="G59" s="202"/>
      <c r="H59" s="202"/>
      <c r="I59" s="203">
        <v>378</v>
      </c>
      <c r="J59" s="201">
        <v>-3.0769230769230771E-2</v>
      </c>
      <c r="K59" s="202">
        <v>-0.14479638009049775</v>
      </c>
      <c r="L59" s="202">
        <v>-0.2827324478178368</v>
      </c>
      <c r="M59" s="202"/>
      <c r="N59" s="206"/>
      <c r="O59" s="206"/>
      <c r="P59" s="206"/>
      <c r="Q59" s="206"/>
      <c r="R59" s="206"/>
      <c r="S59" s="206"/>
      <c r="T59" s="189"/>
    </row>
    <row r="60" spans="1:21" ht="17" thickBot="1" x14ac:dyDescent="0.25">
      <c r="A60" s="198">
        <v>85</v>
      </c>
      <c r="B60" s="9" t="s">
        <v>12</v>
      </c>
      <c r="C60" s="177"/>
      <c r="D60" s="203"/>
      <c r="E60" s="201"/>
      <c r="F60" s="202"/>
      <c r="G60" s="202"/>
      <c r="H60" s="202"/>
      <c r="I60" s="203">
        <v>1377</v>
      </c>
      <c r="J60" s="201">
        <v>-6.4935064935064939E-3</v>
      </c>
      <c r="K60" s="202">
        <v>-0.13613550815558345</v>
      </c>
      <c r="L60" s="202">
        <v>-0.31932773109243695</v>
      </c>
      <c r="M60" s="202"/>
      <c r="N60" s="206"/>
      <c r="O60" s="206"/>
      <c r="P60" s="206"/>
      <c r="Q60" s="206"/>
      <c r="R60" s="206"/>
      <c r="S60" s="206"/>
      <c r="T60" s="189"/>
    </row>
    <row r="61" spans="1:21" ht="17" thickBot="1" x14ac:dyDescent="0.25">
      <c r="A61" s="198">
        <v>87</v>
      </c>
      <c r="B61" s="9" t="s">
        <v>8</v>
      </c>
      <c r="C61" s="177"/>
      <c r="D61" s="203"/>
      <c r="E61" s="201"/>
      <c r="F61" s="202"/>
      <c r="G61" s="202"/>
      <c r="H61" s="202"/>
      <c r="I61" s="203">
        <v>203</v>
      </c>
      <c r="J61" s="201">
        <v>1.4999999999999999E-2</v>
      </c>
      <c r="K61" s="204">
        <v>-0.23106060606060605</v>
      </c>
      <c r="L61" s="204">
        <v>-0.36363636363636365</v>
      </c>
      <c r="M61" s="202"/>
      <c r="N61" s="206"/>
      <c r="O61" s="206"/>
      <c r="P61" s="206"/>
      <c r="Q61" s="206"/>
      <c r="R61" s="206"/>
      <c r="S61" s="206"/>
      <c r="T61" s="189"/>
    </row>
    <row r="62" spans="1:21" ht="17" thickBot="1" x14ac:dyDescent="0.25">
      <c r="A62" s="198">
        <v>91</v>
      </c>
      <c r="B62" s="9" t="s">
        <v>78</v>
      </c>
      <c r="C62" s="177">
        <v>216</v>
      </c>
      <c r="D62" s="203">
        <v>212</v>
      </c>
      <c r="E62" s="204">
        <v>-1.8518518518518517E-2</v>
      </c>
      <c r="F62" s="204">
        <v>-5.3571428571428568E-2</v>
      </c>
      <c r="G62" s="202">
        <v>0.13978494623655913</v>
      </c>
      <c r="H62" s="177">
        <v>4606</v>
      </c>
      <c r="I62" s="203">
        <v>4692</v>
      </c>
      <c r="J62" s="216">
        <v>1.8671298306556665E-2</v>
      </c>
      <c r="K62" s="202">
        <v>-0.13127198666913534</v>
      </c>
      <c r="L62" s="202">
        <v>-0.2691588785046729</v>
      </c>
      <c r="M62" s="202">
        <v>3.0519480519480519E-2</v>
      </c>
      <c r="N62" s="214">
        <v>4.5183290707587385E-2</v>
      </c>
      <c r="O62" s="214">
        <v>-1.7120631786479573E-3</v>
      </c>
      <c r="P62" s="206">
        <v>3.7094895596518213E-3</v>
      </c>
      <c r="Q62" s="206">
        <v>1.6211328090764955E-2</v>
      </c>
      <c r="R62" s="206">
        <v>0.21739130434782608</v>
      </c>
      <c r="S62" s="214">
        <v>0.3249940979736376</v>
      </c>
      <c r="T62" s="189" t="s">
        <v>110</v>
      </c>
      <c r="U62" s="190" t="s">
        <v>110</v>
      </c>
    </row>
    <row r="63" spans="1:21" ht="17" thickBot="1" x14ac:dyDescent="0.25">
      <c r="A63" s="198">
        <v>92</v>
      </c>
      <c r="B63" s="9" t="s">
        <v>14</v>
      </c>
      <c r="C63" s="177"/>
      <c r="D63" s="203"/>
      <c r="E63" s="201"/>
      <c r="F63" s="202"/>
      <c r="G63" s="202"/>
      <c r="H63" s="202"/>
      <c r="I63" s="203">
        <v>391</v>
      </c>
      <c r="J63" s="201">
        <v>5.3908355795148251E-2</v>
      </c>
      <c r="K63" s="204">
        <v>-0.18711018711018712</v>
      </c>
      <c r="L63" s="202">
        <v>-0.31643356643356646</v>
      </c>
      <c r="M63" s="202"/>
      <c r="N63" s="206"/>
      <c r="O63" s="206"/>
      <c r="P63" s="206"/>
      <c r="Q63" s="206"/>
      <c r="R63" s="206"/>
      <c r="S63" s="206"/>
      <c r="T63" s="189"/>
    </row>
    <row r="71" spans="2:2" ht="17" x14ac:dyDescent="0.2">
      <c r="B71" s="286" t="s">
        <v>2</v>
      </c>
    </row>
    <row r="72" spans="2:2" x14ac:dyDescent="0.2">
      <c r="B72" s="11" t="s">
        <v>79</v>
      </c>
    </row>
    <row r="73" spans="2:2" x14ac:dyDescent="0.2">
      <c r="B73" s="12" t="s">
        <v>80</v>
      </c>
    </row>
    <row r="74" spans="2:2" x14ac:dyDescent="0.2">
      <c r="B74" t="s">
        <v>81</v>
      </c>
    </row>
    <row r="85" spans="2:2" ht="16" x14ac:dyDescent="0.2">
      <c r="B85" s="1"/>
    </row>
  </sheetData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18D8E-EDD1-0341-BBCC-C9A6A2A4D480}">
  <dimension ref="N18:N153"/>
  <sheetViews>
    <sheetView topLeftCell="A71" zoomScaleNormal="100" workbookViewId="0">
      <selection activeCell="N160" sqref="N160"/>
    </sheetView>
  </sheetViews>
  <sheetFormatPr baseColWidth="10" defaultColWidth="11.5" defaultRowHeight="15" x14ac:dyDescent="0.2"/>
  <sheetData>
    <row r="18" spans="14:14" x14ac:dyDescent="0.2">
      <c r="N18" s="149"/>
    </row>
    <row r="52" spans="14:14" x14ac:dyDescent="0.2">
      <c r="N52" s="149"/>
    </row>
    <row r="82" spans="14:14" x14ac:dyDescent="0.2">
      <c r="N82" s="149"/>
    </row>
    <row r="153" spans="14:14" x14ac:dyDescent="0.2">
      <c r="N153" s="149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5"/>
  <sheetViews>
    <sheetView zoomScale="70" zoomScaleNormal="70" zoomScalePageLayoutView="125" workbookViewId="0">
      <selection activeCell="AG27" sqref="AG27"/>
    </sheetView>
  </sheetViews>
  <sheetFormatPr baseColWidth="10" defaultColWidth="18.6640625" defaultRowHeight="15" x14ac:dyDescent="0.2"/>
  <cols>
    <col min="3" max="3" width="0" hidden="1" customWidth="1"/>
    <col min="6" max="6" width="0" hidden="1" customWidth="1"/>
    <col min="8" max="8" width="0" hidden="1" customWidth="1"/>
    <col min="11" max="11" width="0" hidden="1" customWidth="1"/>
    <col min="13" max="13" width="0" hidden="1" customWidth="1"/>
    <col min="15" max="15" width="0" hidden="1" customWidth="1"/>
  </cols>
  <sheetData>
    <row r="1" spans="1:27" ht="16" x14ac:dyDescent="0.2">
      <c r="A1" s="17" t="s">
        <v>83</v>
      </c>
      <c r="C1" s="1"/>
      <c r="D1" s="1"/>
      <c r="E1" s="1"/>
      <c r="F1" s="1"/>
      <c r="G1" s="1"/>
      <c r="H1" s="1"/>
      <c r="I1" s="1"/>
    </row>
    <row r="2" spans="1:27" ht="16" thickBot="1" x14ac:dyDescent="0.25"/>
    <row r="3" spans="1:27" ht="69" thickBot="1" x14ac:dyDescent="0.25">
      <c r="A3" s="2" t="s">
        <v>16</v>
      </c>
      <c r="B3" s="3" t="s">
        <v>17</v>
      </c>
      <c r="C3" s="3" t="s">
        <v>82</v>
      </c>
      <c r="D3" s="3" t="s">
        <v>18</v>
      </c>
      <c r="E3" s="3" t="s">
        <v>0</v>
      </c>
      <c r="F3" s="3" t="s">
        <v>84</v>
      </c>
      <c r="G3" s="3" t="s">
        <v>19</v>
      </c>
      <c r="H3" s="3" t="s">
        <v>86</v>
      </c>
      <c r="I3" s="3" t="s">
        <v>20</v>
      </c>
      <c r="J3" s="3" t="s">
        <v>21</v>
      </c>
      <c r="K3" s="3" t="s">
        <v>87</v>
      </c>
      <c r="L3" s="3" t="s">
        <v>22</v>
      </c>
      <c r="M3" s="3" t="s">
        <v>88</v>
      </c>
      <c r="N3" s="3" t="s">
        <v>23</v>
      </c>
      <c r="O3" s="3" t="s">
        <v>89</v>
      </c>
      <c r="P3" s="3" t="s">
        <v>24</v>
      </c>
      <c r="Q3" s="3" t="s">
        <v>1</v>
      </c>
      <c r="R3" s="3" t="s">
        <v>90</v>
      </c>
      <c r="S3" s="3" t="s">
        <v>25</v>
      </c>
      <c r="T3" s="3" t="s">
        <v>91</v>
      </c>
      <c r="U3" s="3" t="s">
        <v>26</v>
      </c>
      <c r="V3" s="3" t="s">
        <v>92</v>
      </c>
      <c r="W3" s="3" t="s">
        <v>27</v>
      </c>
      <c r="X3" s="3" t="s">
        <v>28</v>
      </c>
      <c r="Y3" s="3" t="s">
        <v>29</v>
      </c>
      <c r="Z3" s="3" t="s">
        <v>30</v>
      </c>
      <c r="AA3" s="4" t="s">
        <v>31</v>
      </c>
    </row>
    <row r="4" spans="1:27" ht="17" thickBot="1" x14ac:dyDescent="0.25">
      <c r="A4" s="32"/>
      <c r="B4" s="5" t="s">
        <v>32</v>
      </c>
      <c r="C4" s="18">
        <v>49451</v>
      </c>
      <c r="D4" s="6">
        <v>50308</v>
      </c>
      <c r="E4" s="7">
        <f>(D4-C4)/C4</f>
        <v>1.7330286546278134E-2</v>
      </c>
      <c r="F4" s="6">
        <v>43964</v>
      </c>
      <c r="G4" s="7">
        <f>(D4-F4)/F4</f>
        <v>0.14429988172140842</v>
      </c>
      <c r="H4" s="18">
        <v>35636</v>
      </c>
      <c r="I4" s="7">
        <f>(D4-H4)/H4</f>
        <v>0.41171848692333596</v>
      </c>
      <c r="J4" s="6">
        <v>552788</v>
      </c>
      <c r="K4" s="6">
        <v>558985</v>
      </c>
      <c r="L4" s="7">
        <f>(J4-K4)/K4</f>
        <v>-1.1086165102820291E-2</v>
      </c>
      <c r="M4" s="6">
        <v>580483</v>
      </c>
      <c r="N4" s="7">
        <f>(J4-M4)/M4</f>
        <v>-4.7710268862309488E-2</v>
      </c>
      <c r="O4" s="6">
        <v>606383</v>
      </c>
      <c r="P4" s="7">
        <f>(J4-O4)/O4</f>
        <v>-8.838473374088654E-2</v>
      </c>
      <c r="Q4" s="7">
        <f>D4/J4</f>
        <v>9.1007764278529926E-2</v>
      </c>
      <c r="R4" s="7">
        <f>C4/K4</f>
        <v>8.8465701226329865E-2</v>
      </c>
      <c r="S4" s="7">
        <f>Q4-R4</f>
        <v>2.5420630522000609E-3</v>
      </c>
      <c r="T4" s="7">
        <f>F4/M4</f>
        <v>7.5736929419121662E-2</v>
      </c>
      <c r="U4" s="7">
        <f>Q4-T4</f>
        <v>1.5270834859408264E-2</v>
      </c>
      <c r="V4" s="7">
        <f>H4/O4</f>
        <v>5.876813828883725E-2</v>
      </c>
      <c r="W4" s="7">
        <f>Q4-V4</f>
        <v>3.2239625989692676E-2</v>
      </c>
      <c r="X4" s="7"/>
      <c r="Y4" s="7"/>
      <c r="Z4" s="7"/>
      <c r="AA4" s="16"/>
    </row>
    <row r="5" spans="1:27" ht="17" thickBot="1" x14ac:dyDescent="0.25">
      <c r="A5" s="33">
        <v>5</v>
      </c>
      <c r="B5" s="8" t="s">
        <v>33</v>
      </c>
      <c r="C5" s="18">
        <v>447</v>
      </c>
      <c r="D5" s="13">
        <v>458</v>
      </c>
      <c r="E5" s="7">
        <f>(D5-C5)/C5</f>
        <v>2.4608501118568233E-2</v>
      </c>
      <c r="F5" s="13">
        <v>378</v>
      </c>
      <c r="G5" s="7">
        <f>(D5-F5)/F5</f>
        <v>0.21164021164021163</v>
      </c>
      <c r="H5" s="19" t="s">
        <v>85</v>
      </c>
      <c r="I5" s="7"/>
      <c r="J5" s="14">
        <v>5276</v>
      </c>
      <c r="K5" s="14">
        <v>5260</v>
      </c>
      <c r="L5" s="7">
        <f t="shared" ref="L5:L62" si="0">(J5-K5)/K5</f>
        <v>3.041825095057034E-3</v>
      </c>
      <c r="M5" s="14">
        <v>5378</v>
      </c>
      <c r="N5" s="7">
        <f t="shared" ref="N5:N62" si="1">(J5-M5)/M5</f>
        <v>-1.8966158423205651E-2</v>
      </c>
      <c r="O5" s="13">
        <v>6064</v>
      </c>
      <c r="P5" s="7">
        <f t="shared" ref="P5:P62" si="2">(J5-O5)/O5</f>
        <v>-0.12994722955145119</v>
      </c>
      <c r="Q5" s="7">
        <f>D5/J5</f>
        <v>8.6808188021228208E-2</v>
      </c>
      <c r="R5" s="7">
        <f t="shared" ref="R5:R62" si="3">C5/K5</f>
        <v>8.4980988593155893E-2</v>
      </c>
      <c r="S5" s="7">
        <f t="shared" ref="S5:S62" si="4">Q5-R5</f>
        <v>1.8271994280723153E-3</v>
      </c>
      <c r="T5" s="7">
        <f t="shared" ref="T5:T62" si="5">F5/M5</f>
        <v>7.0286351803644481E-2</v>
      </c>
      <c r="U5" s="7">
        <f t="shared" ref="U5:U62" si="6">Q5-T5</f>
        <v>1.6521836217583727E-2</v>
      </c>
      <c r="V5" s="7"/>
      <c r="W5" s="7">
        <f t="shared" ref="W5:W62" si="7">Q5-V5</f>
        <v>8.6808188021228208E-2</v>
      </c>
      <c r="X5" s="37">
        <v>-0.3905448120051403</v>
      </c>
      <c r="Y5" s="15">
        <v>-0.34155619118683411</v>
      </c>
      <c r="Z5" s="23">
        <v>0.52462516779286961</v>
      </c>
      <c r="AA5" s="20">
        <v>0.54853664710031169</v>
      </c>
    </row>
    <row r="6" spans="1:27" ht="17" thickBot="1" x14ac:dyDescent="0.25">
      <c r="A6" s="33">
        <v>6</v>
      </c>
      <c r="B6" s="8" t="s">
        <v>34</v>
      </c>
      <c r="C6" s="18">
        <v>145</v>
      </c>
      <c r="D6" s="13">
        <v>126</v>
      </c>
      <c r="E6" s="7">
        <f>(D6-C6)/C6</f>
        <v>-0.1310344827586207</v>
      </c>
      <c r="F6" s="13">
        <v>229</v>
      </c>
      <c r="G6" s="7">
        <f>(D6-F6)/F6</f>
        <v>-0.44978165938864628</v>
      </c>
      <c r="H6" s="19" t="s">
        <v>85</v>
      </c>
      <c r="I6" s="7"/>
      <c r="J6" s="14">
        <v>3102</v>
      </c>
      <c r="K6" s="14">
        <v>3082</v>
      </c>
      <c r="L6" s="7">
        <f t="shared" si="0"/>
        <v>6.4892926670992862E-3</v>
      </c>
      <c r="M6" s="14">
        <v>3320</v>
      </c>
      <c r="N6" s="7">
        <f t="shared" si="1"/>
        <v>-6.5662650602409639E-2</v>
      </c>
      <c r="O6" s="13">
        <v>3752</v>
      </c>
      <c r="P6" s="7">
        <f t="shared" si="2"/>
        <v>-0.17324093816631131</v>
      </c>
      <c r="Q6" s="7">
        <f>D6/J6</f>
        <v>4.0618955512572531E-2</v>
      </c>
      <c r="R6" s="7">
        <f t="shared" si="3"/>
        <v>4.7047371836469822E-2</v>
      </c>
      <c r="S6" s="7">
        <f t="shared" si="4"/>
        <v>-6.4284163238972902E-3</v>
      </c>
      <c r="T6" s="7">
        <f t="shared" si="5"/>
        <v>6.8975903614457837E-2</v>
      </c>
      <c r="U6" s="7">
        <f t="shared" si="6"/>
        <v>-2.8356948101885306E-2</v>
      </c>
      <c r="V6" s="7"/>
      <c r="W6" s="7">
        <f t="shared" si="7"/>
        <v>4.0618955512572531E-2</v>
      </c>
      <c r="X6" s="21">
        <v>0.19692499529456051</v>
      </c>
      <c r="Y6" s="21">
        <v>0.16473576343141558</v>
      </c>
      <c r="Z6" s="23">
        <v>0.23857113020646858</v>
      </c>
      <c r="AA6" s="20">
        <v>0.21347326649958229</v>
      </c>
    </row>
    <row r="7" spans="1:27" ht="17" thickBot="1" x14ac:dyDescent="0.25">
      <c r="A7" s="33">
        <v>8</v>
      </c>
      <c r="B7" s="8" t="s">
        <v>35</v>
      </c>
      <c r="C7" s="18">
        <v>267</v>
      </c>
      <c r="D7" s="13">
        <v>270</v>
      </c>
      <c r="E7" s="7">
        <f>(D7-C7)/C7</f>
        <v>1.1235955056179775E-2</v>
      </c>
      <c r="F7" s="13">
        <v>265</v>
      </c>
      <c r="G7" s="7">
        <f>(D7-F7)/F7</f>
        <v>1.8867924528301886E-2</v>
      </c>
      <c r="H7" s="18">
        <v>289</v>
      </c>
      <c r="I7" s="7">
        <f t="shared" ref="I7:I57" si="8">(D7-H7)/H7</f>
        <v>-6.5743944636678195E-2</v>
      </c>
      <c r="J7" s="14">
        <v>5157</v>
      </c>
      <c r="K7" s="14">
        <v>5245</v>
      </c>
      <c r="L7" s="7">
        <f t="shared" si="0"/>
        <v>-1.6777883698760723E-2</v>
      </c>
      <c r="M7" s="14">
        <v>5460</v>
      </c>
      <c r="N7" s="7">
        <f t="shared" si="1"/>
        <v>-5.5494505494505492E-2</v>
      </c>
      <c r="O7" s="13">
        <v>6014</v>
      </c>
      <c r="P7" s="7">
        <f t="shared" si="2"/>
        <v>-0.14250083139341535</v>
      </c>
      <c r="Q7" s="7">
        <f>D7/J7</f>
        <v>5.2356020942408377E-2</v>
      </c>
      <c r="R7" s="7">
        <f t="shared" si="3"/>
        <v>5.0905624404194473E-2</v>
      </c>
      <c r="S7" s="7">
        <f t="shared" si="4"/>
        <v>1.4503965382139036E-3</v>
      </c>
      <c r="T7" s="7">
        <f t="shared" si="5"/>
        <v>4.8534798534798536E-2</v>
      </c>
      <c r="U7" s="7">
        <f t="shared" si="6"/>
        <v>3.8212224076098408E-3</v>
      </c>
      <c r="V7" s="7">
        <f t="shared" ref="V7:V57" si="9">H7/O7</f>
        <v>4.8054539408047887E-2</v>
      </c>
      <c r="W7" s="7">
        <f t="shared" si="7"/>
        <v>4.3014815343604892E-3</v>
      </c>
      <c r="X7" s="15"/>
      <c r="Y7" s="15"/>
      <c r="Z7" s="23">
        <v>0.64620883611529822</v>
      </c>
      <c r="AA7" s="20">
        <v>0.63443600071639505</v>
      </c>
    </row>
    <row r="8" spans="1:27" ht="17" thickBot="1" x14ac:dyDescent="0.25">
      <c r="A8" s="34">
        <v>10</v>
      </c>
      <c r="B8" s="9" t="s">
        <v>3</v>
      </c>
      <c r="C8" s="18"/>
      <c r="D8" s="22"/>
      <c r="E8" s="7"/>
      <c r="F8" s="22"/>
      <c r="G8" s="7"/>
      <c r="H8" s="18"/>
      <c r="I8" s="7"/>
      <c r="J8" s="22"/>
      <c r="K8" s="35"/>
      <c r="L8" s="7"/>
      <c r="M8" s="22"/>
      <c r="N8" s="7"/>
      <c r="O8" s="22"/>
      <c r="P8" s="7"/>
      <c r="Q8" s="7"/>
      <c r="R8" s="7"/>
      <c r="S8" s="7"/>
      <c r="T8" s="7"/>
      <c r="U8" s="7"/>
      <c r="V8" s="7"/>
      <c r="W8" s="7"/>
      <c r="X8" s="24"/>
      <c r="Y8" s="24"/>
      <c r="Z8" s="23"/>
      <c r="AA8" s="38"/>
    </row>
    <row r="9" spans="1:27" ht="17" thickBot="1" x14ac:dyDescent="0.25">
      <c r="A9" s="34">
        <v>19</v>
      </c>
      <c r="B9" s="9" t="s">
        <v>4</v>
      </c>
      <c r="C9" s="18"/>
      <c r="D9" s="22"/>
      <c r="E9" s="7"/>
      <c r="F9" s="22"/>
      <c r="G9" s="7"/>
      <c r="H9" s="18"/>
      <c r="I9" s="7"/>
      <c r="J9" s="22"/>
      <c r="K9" s="22"/>
      <c r="L9" s="7"/>
      <c r="M9" s="22"/>
      <c r="N9" s="7"/>
      <c r="O9" s="22"/>
      <c r="P9" s="7"/>
      <c r="Q9" s="7"/>
      <c r="R9" s="7"/>
      <c r="S9" s="7"/>
      <c r="T9" s="7"/>
      <c r="U9" s="7"/>
      <c r="V9" s="7"/>
      <c r="W9" s="7"/>
      <c r="X9" s="24"/>
      <c r="Y9" s="24"/>
      <c r="Z9" s="23"/>
      <c r="AA9" s="38"/>
    </row>
    <row r="10" spans="1:27" ht="17" thickBot="1" x14ac:dyDescent="0.25">
      <c r="A10" s="33">
        <v>20</v>
      </c>
      <c r="B10" s="8" t="s">
        <v>36</v>
      </c>
      <c r="C10" s="18">
        <v>202</v>
      </c>
      <c r="D10" s="22">
        <v>212</v>
      </c>
      <c r="E10" s="7">
        <f t="shared" ref="E10:E27" si="10">(D10-C10)/C10</f>
        <v>4.9504950495049507E-2</v>
      </c>
      <c r="F10" s="22">
        <v>180</v>
      </c>
      <c r="G10" s="7">
        <f>(D10-F10)/F10</f>
        <v>0.17777777777777778</v>
      </c>
      <c r="H10" s="18">
        <v>155</v>
      </c>
      <c r="I10" s="7">
        <f t="shared" si="8"/>
        <v>0.36774193548387096</v>
      </c>
      <c r="J10" s="14">
        <v>3661</v>
      </c>
      <c r="K10" s="22">
        <v>3739</v>
      </c>
      <c r="L10" s="7">
        <f t="shared" si="0"/>
        <v>-2.0861192832308105E-2</v>
      </c>
      <c r="M10" s="14">
        <v>4112</v>
      </c>
      <c r="N10" s="7">
        <f t="shared" si="1"/>
        <v>-0.10967898832684825</v>
      </c>
      <c r="O10" s="22">
        <v>4776</v>
      </c>
      <c r="P10" s="7">
        <f t="shared" si="2"/>
        <v>-0.23345896147403686</v>
      </c>
      <c r="Q10" s="7">
        <f t="shared" ref="Q10:Q27" si="11">D10/J10</f>
        <v>5.7907675498497679E-2</v>
      </c>
      <c r="R10" s="7">
        <f t="shared" si="3"/>
        <v>5.4025140411874832E-2</v>
      </c>
      <c r="S10" s="7">
        <f t="shared" si="4"/>
        <v>3.8825350866228472E-3</v>
      </c>
      <c r="T10" s="7">
        <f t="shared" si="5"/>
        <v>4.3774319066147857E-2</v>
      </c>
      <c r="U10" s="7">
        <f t="shared" si="6"/>
        <v>1.4133356432349822E-2</v>
      </c>
      <c r="V10" s="7">
        <f t="shared" si="9"/>
        <v>3.2453936348408707E-2</v>
      </c>
      <c r="W10" s="7">
        <f t="shared" si="7"/>
        <v>2.5453739150088972E-2</v>
      </c>
      <c r="X10" s="15"/>
      <c r="Y10" s="15"/>
      <c r="Z10" s="23">
        <v>0.42916142387000533</v>
      </c>
      <c r="AA10" s="20">
        <v>0.39732639166571754</v>
      </c>
    </row>
    <row r="11" spans="1:27" ht="17" thickBot="1" x14ac:dyDescent="0.25">
      <c r="A11" s="33">
        <v>22</v>
      </c>
      <c r="B11" s="8" t="s">
        <v>37</v>
      </c>
      <c r="C11" s="18">
        <v>1055</v>
      </c>
      <c r="D11" s="14">
        <v>1069</v>
      </c>
      <c r="E11" s="7">
        <f t="shared" si="10"/>
        <v>1.3270142180094787E-2</v>
      </c>
      <c r="F11" s="14">
        <v>953</v>
      </c>
      <c r="G11" s="7">
        <f>(D11-F11)/F11</f>
        <v>0.12172088142707241</v>
      </c>
      <c r="H11" s="18">
        <v>825</v>
      </c>
      <c r="I11" s="7">
        <f t="shared" si="8"/>
        <v>0.29575757575757577</v>
      </c>
      <c r="J11" s="14">
        <v>8246</v>
      </c>
      <c r="K11" s="14">
        <v>8127</v>
      </c>
      <c r="L11" s="7">
        <f t="shared" si="0"/>
        <v>1.4642549526270457E-2</v>
      </c>
      <c r="M11" s="14">
        <v>8752</v>
      </c>
      <c r="N11" s="7">
        <f t="shared" si="1"/>
        <v>-5.7815356489945152E-2</v>
      </c>
      <c r="O11" s="14">
        <v>9622</v>
      </c>
      <c r="P11" s="7">
        <f t="shared" si="2"/>
        <v>-0.14300561213884846</v>
      </c>
      <c r="Q11" s="7">
        <f t="shared" si="11"/>
        <v>0.12963861266068397</v>
      </c>
      <c r="R11" s="7">
        <f t="shared" si="3"/>
        <v>0.12981419958164145</v>
      </c>
      <c r="S11" s="7">
        <f t="shared" si="4"/>
        <v>-1.755869209574823E-4</v>
      </c>
      <c r="T11" s="7">
        <f t="shared" si="5"/>
        <v>0.10888939670932359</v>
      </c>
      <c r="U11" s="7">
        <f t="shared" si="6"/>
        <v>2.0749215951360381E-2</v>
      </c>
      <c r="V11" s="7">
        <f t="shared" si="9"/>
        <v>8.5741010184992722E-2</v>
      </c>
      <c r="W11" s="7">
        <f t="shared" si="7"/>
        <v>4.3897602475691244E-2</v>
      </c>
      <c r="X11" s="15">
        <v>0.16436847007238922</v>
      </c>
      <c r="Y11" s="15">
        <v>0.16849609999700432</v>
      </c>
      <c r="Z11" s="23">
        <v>0.47109295521491612</v>
      </c>
      <c r="AA11" s="20">
        <v>0.47938454882395015</v>
      </c>
    </row>
    <row r="12" spans="1:27" ht="17" thickBot="1" x14ac:dyDescent="0.25">
      <c r="A12" s="33">
        <v>23</v>
      </c>
      <c r="B12" s="8" t="s">
        <v>38</v>
      </c>
      <c r="C12" s="18">
        <v>2191</v>
      </c>
      <c r="D12" s="22">
        <v>2281</v>
      </c>
      <c r="E12" s="7">
        <f t="shared" si="10"/>
        <v>4.1077133728890915E-2</v>
      </c>
      <c r="F12" s="22">
        <v>1859</v>
      </c>
      <c r="G12" s="7">
        <f>(D12-F12)/F12</f>
        <v>0.22700376546530393</v>
      </c>
      <c r="H12" s="18">
        <v>1590</v>
      </c>
      <c r="I12" s="7">
        <f t="shared" si="8"/>
        <v>0.43459119496855347</v>
      </c>
      <c r="J12" s="25">
        <v>21327</v>
      </c>
      <c r="K12" s="25">
        <v>21293</v>
      </c>
      <c r="L12" s="7">
        <f t="shared" si="0"/>
        <v>1.5967688911848964E-3</v>
      </c>
      <c r="M12" s="26">
        <v>21822</v>
      </c>
      <c r="N12" s="7">
        <f t="shared" si="1"/>
        <v>-2.2683530382183119E-2</v>
      </c>
      <c r="O12" s="22">
        <v>22236</v>
      </c>
      <c r="P12" s="7">
        <f t="shared" si="2"/>
        <v>-4.0879654614139234E-2</v>
      </c>
      <c r="Q12" s="7">
        <f t="shared" si="11"/>
        <v>0.10695362685797347</v>
      </c>
      <c r="R12" s="7">
        <f t="shared" si="3"/>
        <v>0.10289766589959141</v>
      </c>
      <c r="S12" s="7">
        <f t="shared" si="4"/>
        <v>4.0559609583820516E-3</v>
      </c>
      <c r="T12" s="7">
        <f t="shared" si="5"/>
        <v>8.5189258546421037E-2</v>
      </c>
      <c r="U12" s="7">
        <f>Q12-T12</f>
        <v>2.1764368311552429E-2</v>
      </c>
      <c r="V12" s="7">
        <f t="shared" si="9"/>
        <v>7.1505666486778197E-2</v>
      </c>
      <c r="W12" s="7">
        <f t="shared" si="7"/>
        <v>3.544796037119527E-2</v>
      </c>
      <c r="X12" s="15">
        <v>0.15021760197903114</v>
      </c>
      <c r="Y12" s="15">
        <v>0.14772764664767951</v>
      </c>
      <c r="Z12" s="23">
        <v>0.240118218695659</v>
      </c>
      <c r="AA12" s="20">
        <v>0.24215975824157762</v>
      </c>
    </row>
    <row r="13" spans="1:27" ht="18" thickBot="1" x14ac:dyDescent="0.25">
      <c r="A13" s="33">
        <v>27</v>
      </c>
      <c r="B13" s="8" t="s">
        <v>39</v>
      </c>
      <c r="C13" s="18">
        <v>319</v>
      </c>
      <c r="D13" s="27">
        <v>305</v>
      </c>
      <c r="E13" s="7">
        <f t="shared" si="10"/>
        <v>-4.3887147335423198E-2</v>
      </c>
      <c r="F13" s="27" t="s">
        <v>85</v>
      </c>
      <c r="G13" s="7"/>
      <c r="H13" s="18">
        <v>332</v>
      </c>
      <c r="I13" s="7">
        <f t="shared" si="8"/>
        <v>-8.1325301204819275E-2</v>
      </c>
      <c r="J13" s="22">
        <v>4641</v>
      </c>
      <c r="K13" s="22">
        <v>4947</v>
      </c>
      <c r="L13" s="7">
        <f t="shared" si="0"/>
        <v>-6.1855670103092786E-2</v>
      </c>
      <c r="M13" s="22">
        <v>6055</v>
      </c>
      <c r="N13" s="7">
        <f t="shared" si="1"/>
        <v>-0.23352601156069364</v>
      </c>
      <c r="O13" s="27">
        <v>7201</v>
      </c>
      <c r="P13" s="7">
        <f t="shared" si="2"/>
        <v>-0.35550617969726428</v>
      </c>
      <c r="Q13" s="7">
        <f t="shared" si="11"/>
        <v>6.5718595130359839E-2</v>
      </c>
      <c r="R13" s="7">
        <f t="shared" si="3"/>
        <v>6.4483525368910458E-2</v>
      </c>
      <c r="S13" s="7">
        <f t="shared" si="4"/>
        <v>1.2350697614493811E-3</v>
      </c>
      <c r="T13" s="7"/>
      <c r="U13" s="7">
        <f t="shared" si="6"/>
        <v>6.5718595130359839E-2</v>
      </c>
      <c r="V13" s="7">
        <f t="shared" si="9"/>
        <v>4.610470767948896E-2</v>
      </c>
      <c r="W13" s="7">
        <f t="shared" si="7"/>
        <v>1.9613887450870879E-2</v>
      </c>
      <c r="X13" s="15">
        <v>0.30606307396543925</v>
      </c>
      <c r="Y13" s="15">
        <v>0.3051097198926172</v>
      </c>
      <c r="Z13" s="23">
        <v>0.45893379281537178</v>
      </c>
      <c r="AA13" s="20"/>
    </row>
    <row r="14" spans="1:27" ht="18" thickBot="1" x14ac:dyDescent="0.25">
      <c r="A14" s="33">
        <v>28</v>
      </c>
      <c r="B14" s="8" t="s">
        <v>40</v>
      </c>
      <c r="C14" s="18">
        <v>194</v>
      </c>
      <c r="D14" s="22">
        <v>190</v>
      </c>
      <c r="E14" s="7">
        <f t="shared" si="10"/>
        <v>-2.0618556701030927E-2</v>
      </c>
      <c r="F14" s="27" t="s">
        <v>85</v>
      </c>
      <c r="G14" s="7"/>
      <c r="H14" s="18">
        <v>255</v>
      </c>
      <c r="I14" s="7">
        <f t="shared" si="8"/>
        <v>-0.25490196078431371</v>
      </c>
      <c r="J14" s="22">
        <v>3046</v>
      </c>
      <c r="K14" s="22">
        <v>3374</v>
      </c>
      <c r="L14" s="7">
        <f t="shared" si="0"/>
        <v>-9.7213989330171904E-2</v>
      </c>
      <c r="M14" s="22">
        <v>3962</v>
      </c>
      <c r="N14" s="7">
        <f t="shared" si="1"/>
        <v>-0.23119636547198386</v>
      </c>
      <c r="O14" s="22">
        <v>4370</v>
      </c>
      <c r="P14" s="7">
        <f t="shared" si="2"/>
        <v>-0.30297482837528605</v>
      </c>
      <c r="Q14" s="7">
        <f t="shared" si="11"/>
        <v>6.2376887721602103E-2</v>
      </c>
      <c r="R14" s="7">
        <f t="shared" si="3"/>
        <v>5.7498518079430939E-2</v>
      </c>
      <c r="S14" s="7">
        <f t="shared" si="4"/>
        <v>4.8783696421711639E-3</v>
      </c>
      <c r="T14" s="7"/>
      <c r="U14" s="7">
        <f t="shared" si="6"/>
        <v>6.2376887721602103E-2</v>
      </c>
      <c r="V14" s="7">
        <f t="shared" si="9"/>
        <v>5.8352402745995423E-2</v>
      </c>
      <c r="W14" s="7">
        <f t="shared" si="7"/>
        <v>4.0244849756066806E-3</v>
      </c>
      <c r="X14" s="15">
        <v>0.37482321361506327</v>
      </c>
      <c r="Y14" s="15">
        <v>0.36584257034051837</v>
      </c>
      <c r="Z14" s="23">
        <v>0.25015262515262515</v>
      </c>
      <c r="AA14" s="20"/>
    </row>
    <row r="15" spans="1:27" ht="17" thickBot="1" x14ac:dyDescent="0.25">
      <c r="A15" s="33">
        <v>33</v>
      </c>
      <c r="B15" s="8" t="s">
        <v>41</v>
      </c>
      <c r="C15" s="18">
        <v>478</v>
      </c>
      <c r="D15" s="27">
        <v>497</v>
      </c>
      <c r="E15" s="7">
        <f t="shared" si="10"/>
        <v>3.9748953974895397E-2</v>
      </c>
      <c r="F15" s="27">
        <v>482</v>
      </c>
      <c r="G15" s="7">
        <f t="shared" ref="G15:G27" si="12">(D15-F15)/F15</f>
        <v>3.1120331950207469E-2</v>
      </c>
      <c r="H15" s="18">
        <v>392</v>
      </c>
      <c r="I15" s="7">
        <f t="shared" si="8"/>
        <v>0.26785714285714285</v>
      </c>
      <c r="J15" s="22">
        <v>12975</v>
      </c>
      <c r="K15" s="22">
        <v>12995</v>
      </c>
      <c r="L15" s="7">
        <f t="shared" si="0"/>
        <v>-1.5390534821085034E-3</v>
      </c>
      <c r="M15" s="22">
        <v>14018</v>
      </c>
      <c r="N15" s="7">
        <f t="shared" si="1"/>
        <v>-7.440433728063918E-2</v>
      </c>
      <c r="O15" s="27">
        <v>13307</v>
      </c>
      <c r="P15" s="7">
        <f t="shared" si="2"/>
        <v>-2.4949274817765085E-2</v>
      </c>
      <c r="Q15" s="7">
        <f t="shared" si="11"/>
        <v>3.8304431599229284E-2</v>
      </c>
      <c r="R15" s="7">
        <f t="shared" si="3"/>
        <v>3.6783378222393227E-2</v>
      </c>
      <c r="S15" s="7">
        <f t="shared" si="4"/>
        <v>1.5210533768360568E-3</v>
      </c>
      <c r="T15" s="7">
        <f t="shared" si="5"/>
        <v>3.4384362961906119E-2</v>
      </c>
      <c r="U15" s="7">
        <f t="shared" si="6"/>
        <v>3.9200686373231652E-3</v>
      </c>
      <c r="V15" s="7">
        <f t="shared" si="9"/>
        <v>2.9458179905312992E-2</v>
      </c>
      <c r="W15" s="7">
        <f t="shared" si="7"/>
        <v>8.8462516939162919E-3</v>
      </c>
      <c r="X15" s="15"/>
      <c r="Y15" s="15"/>
      <c r="Z15" s="23">
        <v>0.38205869351223232</v>
      </c>
      <c r="AA15" s="20">
        <v>0.39275547408454603</v>
      </c>
    </row>
    <row r="16" spans="1:27" ht="17" thickBot="1" x14ac:dyDescent="0.25">
      <c r="A16" s="33">
        <v>34</v>
      </c>
      <c r="B16" s="8" t="s">
        <v>42</v>
      </c>
      <c r="C16" s="18">
        <v>1231</v>
      </c>
      <c r="D16" s="22">
        <v>1245</v>
      </c>
      <c r="E16" s="7">
        <f t="shared" si="10"/>
        <v>1.1372867587327376E-2</v>
      </c>
      <c r="F16" s="22">
        <v>1107</v>
      </c>
      <c r="G16" s="7">
        <f t="shared" si="12"/>
        <v>0.12466124661246612</v>
      </c>
      <c r="H16" s="18">
        <v>1127</v>
      </c>
      <c r="I16" s="7">
        <f t="shared" si="8"/>
        <v>0.10470275066548358</v>
      </c>
      <c r="J16" s="22">
        <v>19292</v>
      </c>
      <c r="K16" s="22">
        <v>19182</v>
      </c>
      <c r="L16" s="7">
        <f t="shared" si="0"/>
        <v>5.7345428005421747E-3</v>
      </c>
      <c r="M16" s="22">
        <v>19509</v>
      </c>
      <c r="N16" s="7">
        <f t="shared" si="1"/>
        <v>-1.1123071402942232E-2</v>
      </c>
      <c r="O16" s="22">
        <v>19980</v>
      </c>
      <c r="P16" s="7">
        <f t="shared" si="2"/>
        <v>-3.4434434434434433E-2</v>
      </c>
      <c r="Q16" s="7">
        <f t="shared" si="11"/>
        <v>6.4534522081691886E-2</v>
      </c>
      <c r="R16" s="7">
        <f t="shared" si="3"/>
        <v>6.4174747158794704E-2</v>
      </c>
      <c r="S16" s="7">
        <f t="shared" si="4"/>
        <v>3.5977492289718249E-4</v>
      </c>
      <c r="T16" s="7">
        <f t="shared" si="5"/>
        <v>5.6743041673073966E-2</v>
      </c>
      <c r="U16" s="7">
        <f t="shared" si="6"/>
        <v>7.7914804086179207E-3</v>
      </c>
      <c r="V16" s="7">
        <f t="shared" si="9"/>
        <v>5.6406406406406408E-2</v>
      </c>
      <c r="W16" s="7">
        <f t="shared" si="7"/>
        <v>8.1281156752854786E-3</v>
      </c>
      <c r="X16" s="24">
        <v>0.30084625690090661</v>
      </c>
      <c r="Y16" s="24">
        <v>0.28447229986869066</v>
      </c>
      <c r="Z16" s="23">
        <v>0.38661582334326511</v>
      </c>
      <c r="AA16" s="20">
        <v>0.39273877826448683</v>
      </c>
    </row>
    <row r="17" spans="1:27" ht="17" thickBot="1" x14ac:dyDescent="0.25">
      <c r="A17" s="33">
        <v>35</v>
      </c>
      <c r="B17" s="8" t="s">
        <v>43</v>
      </c>
      <c r="C17" s="18">
        <v>1433</v>
      </c>
      <c r="D17" s="22">
        <v>1443</v>
      </c>
      <c r="E17" s="7">
        <f t="shared" si="10"/>
        <v>6.9783670621074668E-3</v>
      </c>
      <c r="F17" s="22">
        <v>1416</v>
      </c>
      <c r="G17" s="7">
        <f t="shared" si="12"/>
        <v>1.9067796610169493E-2</v>
      </c>
      <c r="H17" s="18">
        <v>1329</v>
      </c>
      <c r="I17" s="7">
        <f t="shared" si="8"/>
        <v>8.5778781038374718E-2</v>
      </c>
      <c r="J17" s="22">
        <v>20204</v>
      </c>
      <c r="K17" s="22">
        <v>19944</v>
      </c>
      <c r="L17" s="7">
        <f t="shared" si="0"/>
        <v>1.3036502206177296E-2</v>
      </c>
      <c r="M17" s="22">
        <v>19788</v>
      </c>
      <c r="N17" s="7">
        <f t="shared" si="1"/>
        <v>2.102284212654134E-2</v>
      </c>
      <c r="O17" s="22">
        <v>20118</v>
      </c>
      <c r="P17" s="7">
        <f t="shared" si="2"/>
        <v>4.2747788050502035E-3</v>
      </c>
      <c r="Q17" s="7">
        <f t="shared" si="11"/>
        <v>7.1421500692932099E-2</v>
      </c>
      <c r="R17" s="7">
        <f t="shared" si="3"/>
        <v>7.1851183313277181E-2</v>
      </c>
      <c r="S17" s="7">
        <f t="shared" si="4"/>
        <v>-4.2968262034508153E-4</v>
      </c>
      <c r="T17" s="7">
        <f t="shared" si="5"/>
        <v>7.1558520315342627E-2</v>
      </c>
      <c r="U17" s="7">
        <f t="shared" si="6"/>
        <v>-1.3701962241052801E-4</v>
      </c>
      <c r="V17" s="7">
        <f t="shared" si="9"/>
        <v>6.6060244557113026E-2</v>
      </c>
      <c r="W17" s="7">
        <f t="shared" si="7"/>
        <v>5.361256135819073E-3</v>
      </c>
      <c r="X17" s="24">
        <v>0.1209118971023535</v>
      </c>
      <c r="Y17" s="24">
        <v>0.110057532873288</v>
      </c>
      <c r="Z17" s="23">
        <v>0.49331192578761268</v>
      </c>
      <c r="AA17" s="20">
        <v>0.51070966474451007</v>
      </c>
    </row>
    <row r="18" spans="1:27" ht="17" thickBot="1" x14ac:dyDescent="0.25">
      <c r="A18" s="33">
        <v>36</v>
      </c>
      <c r="B18" s="8" t="s">
        <v>44</v>
      </c>
      <c r="C18" s="18">
        <v>3295</v>
      </c>
      <c r="D18" s="22">
        <v>3357</v>
      </c>
      <c r="E18" s="7">
        <f t="shared" si="10"/>
        <v>1.8816388467374809E-2</v>
      </c>
      <c r="F18" s="22">
        <v>2897</v>
      </c>
      <c r="G18" s="7">
        <f t="shared" si="12"/>
        <v>0.15878494994822229</v>
      </c>
      <c r="H18" s="18">
        <v>2394</v>
      </c>
      <c r="I18" s="7">
        <f t="shared" si="8"/>
        <v>0.40225563909774437</v>
      </c>
      <c r="J18" s="22">
        <v>70765</v>
      </c>
      <c r="K18" s="22">
        <v>72273</v>
      </c>
      <c r="L18" s="7">
        <f t="shared" si="0"/>
        <v>-2.0865330067936852E-2</v>
      </c>
      <c r="M18" s="22">
        <v>69109</v>
      </c>
      <c r="N18" s="7">
        <f t="shared" si="1"/>
        <v>2.396214675367897E-2</v>
      </c>
      <c r="O18" s="22">
        <v>65464</v>
      </c>
      <c r="P18" s="7">
        <f t="shared" si="2"/>
        <v>8.0975803495050722E-2</v>
      </c>
      <c r="Q18" s="7">
        <f t="shared" si="11"/>
        <v>4.7438705574789797E-2</v>
      </c>
      <c r="R18" s="7">
        <f t="shared" si="3"/>
        <v>4.5591022926957506E-2</v>
      </c>
      <c r="S18" s="7">
        <f t="shared" si="4"/>
        <v>1.8476826478322911E-3</v>
      </c>
      <c r="T18" s="7">
        <f t="shared" si="5"/>
        <v>4.1919286923555545E-2</v>
      </c>
      <c r="U18" s="7">
        <f t="shared" si="6"/>
        <v>5.5194186512342522E-3</v>
      </c>
      <c r="V18" s="7">
        <f t="shared" si="9"/>
        <v>3.6569717707442259E-2</v>
      </c>
      <c r="W18" s="7">
        <f t="shared" si="7"/>
        <v>1.0868987867347538E-2</v>
      </c>
      <c r="X18" s="24">
        <v>0.15158195417039633</v>
      </c>
      <c r="Y18" s="24">
        <v>0.14452252167649982</v>
      </c>
      <c r="Z18" s="23">
        <v>0.37213897071826901</v>
      </c>
      <c r="AA18" s="40">
        <v>0.39752502966702052</v>
      </c>
    </row>
    <row r="19" spans="1:27" ht="17" thickBot="1" x14ac:dyDescent="0.25">
      <c r="A19" s="33">
        <v>37</v>
      </c>
      <c r="B19" s="8" t="s">
        <v>45</v>
      </c>
      <c r="C19" s="18">
        <v>2026</v>
      </c>
      <c r="D19" s="22">
        <v>2047</v>
      </c>
      <c r="E19" s="7">
        <f t="shared" si="10"/>
        <v>1.0365251727541954E-2</v>
      </c>
      <c r="F19" s="22">
        <v>1889</v>
      </c>
      <c r="G19" s="7">
        <f t="shared" si="12"/>
        <v>8.3642138697723661E-2</v>
      </c>
      <c r="H19" s="18">
        <v>1557</v>
      </c>
      <c r="I19" s="7">
        <f t="shared" si="8"/>
        <v>0.3147077713551702</v>
      </c>
      <c r="J19" s="22">
        <v>15978</v>
      </c>
      <c r="K19" s="22">
        <v>16006</v>
      </c>
      <c r="L19" s="7">
        <f t="shared" si="0"/>
        <v>-1.7493439960014994E-3</v>
      </c>
      <c r="M19" s="22">
        <v>16795</v>
      </c>
      <c r="N19" s="7">
        <f t="shared" si="1"/>
        <v>-4.8645430187555821E-2</v>
      </c>
      <c r="O19" s="22">
        <v>17603</v>
      </c>
      <c r="P19" s="7">
        <f t="shared" si="2"/>
        <v>-9.2313810145997835E-2</v>
      </c>
      <c r="Q19" s="7">
        <f t="shared" si="11"/>
        <v>0.12811365627738139</v>
      </c>
      <c r="R19" s="7">
        <f t="shared" si="3"/>
        <v>0.12657753342496564</v>
      </c>
      <c r="S19" s="7">
        <f t="shared" si="4"/>
        <v>1.53612285241575E-3</v>
      </c>
      <c r="T19" s="7">
        <f t="shared" si="5"/>
        <v>0.11247395058052992</v>
      </c>
      <c r="U19" s="7">
        <f t="shared" si="6"/>
        <v>1.5639705696851469E-2</v>
      </c>
      <c r="V19" s="7">
        <f t="shared" si="9"/>
        <v>8.8450832244503771E-2</v>
      </c>
      <c r="W19" s="7">
        <f t="shared" si="7"/>
        <v>3.9662824032877617E-2</v>
      </c>
      <c r="X19" s="15">
        <v>0.1510843612702335</v>
      </c>
      <c r="Y19" s="15">
        <v>0.15202620320780041</v>
      </c>
      <c r="Z19" s="23">
        <v>0.35691926353248882</v>
      </c>
      <c r="AA19" s="20">
        <v>0.3613380100878783</v>
      </c>
    </row>
    <row r="20" spans="1:27" ht="17" thickBot="1" x14ac:dyDescent="0.25">
      <c r="A20" s="33">
        <v>38</v>
      </c>
      <c r="B20" s="8" t="s">
        <v>46</v>
      </c>
      <c r="C20" s="18">
        <v>2259</v>
      </c>
      <c r="D20" s="22">
        <v>2255</v>
      </c>
      <c r="E20" s="7">
        <f t="shared" si="10"/>
        <v>-1.7706949977866313E-3</v>
      </c>
      <c r="F20" s="22">
        <v>2428</v>
      </c>
      <c r="G20" s="7">
        <f t="shared" si="12"/>
        <v>-7.1252059308072491E-2</v>
      </c>
      <c r="H20" s="18">
        <v>2094</v>
      </c>
      <c r="I20" s="7">
        <f t="shared" si="8"/>
        <v>7.6886341929321866E-2</v>
      </c>
      <c r="J20" s="22">
        <v>21305</v>
      </c>
      <c r="K20" s="22">
        <v>21811</v>
      </c>
      <c r="L20" s="7">
        <f t="shared" si="0"/>
        <v>-2.319930310393838E-2</v>
      </c>
      <c r="M20" s="22">
        <v>22971</v>
      </c>
      <c r="N20" s="7">
        <f t="shared" si="1"/>
        <v>-7.25262287231727E-2</v>
      </c>
      <c r="O20" s="22">
        <v>23625</v>
      </c>
      <c r="P20" s="7">
        <f t="shared" si="2"/>
        <v>-9.8201058201058206E-2</v>
      </c>
      <c r="Q20" s="7">
        <f t="shared" si="11"/>
        <v>0.10584369866228585</v>
      </c>
      <c r="R20" s="7">
        <f t="shared" si="3"/>
        <v>0.10357159231580396</v>
      </c>
      <c r="S20" s="7">
        <f t="shared" si="4"/>
        <v>2.2721063464818947E-3</v>
      </c>
      <c r="T20" s="7">
        <f t="shared" si="5"/>
        <v>0.10569848939967785</v>
      </c>
      <c r="U20" s="7">
        <f t="shared" si="6"/>
        <v>1.4520926260799816E-4</v>
      </c>
      <c r="V20" s="7">
        <f t="shared" si="9"/>
        <v>8.8634920634920636E-2</v>
      </c>
      <c r="W20" s="7">
        <f t="shared" si="7"/>
        <v>1.7208778027365215E-2</v>
      </c>
      <c r="X20" s="24">
        <v>0.21769252057893324</v>
      </c>
      <c r="Y20" s="24">
        <v>0.22731598838352721</v>
      </c>
      <c r="Z20" s="23">
        <v>0.3761481296838069</v>
      </c>
      <c r="AA20" s="20">
        <v>0.37547954646240211</v>
      </c>
    </row>
    <row r="21" spans="1:27" ht="17" thickBot="1" x14ac:dyDescent="0.25">
      <c r="A21" s="33">
        <v>39</v>
      </c>
      <c r="B21" s="8" t="s">
        <v>47</v>
      </c>
      <c r="C21" s="18">
        <v>5070</v>
      </c>
      <c r="D21" s="22">
        <v>4912</v>
      </c>
      <c r="E21" s="7">
        <f t="shared" si="10"/>
        <v>-3.1163708086785012E-2</v>
      </c>
      <c r="F21" s="22">
        <v>4664</v>
      </c>
      <c r="G21" s="7">
        <f t="shared" si="12"/>
        <v>5.3173241852487133E-2</v>
      </c>
      <c r="H21" s="18">
        <v>3440</v>
      </c>
      <c r="I21" s="7">
        <f t="shared" si="8"/>
        <v>0.42790697674418604</v>
      </c>
      <c r="J21" s="22">
        <v>54341</v>
      </c>
      <c r="K21" s="22">
        <v>55697</v>
      </c>
      <c r="L21" s="7">
        <f t="shared" si="0"/>
        <v>-2.4346015045693663E-2</v>
      </c>
      <c r="M21" s="22">
        <v>59978</v>
      </c>
      <c r="N21" s="7">
        <f t="shared" si="1"/>
        <v>-9.398446096902198E-2</v>
      </c>
      <c r="O21" s="22">
        <v>61419</v>
      </c>
      <c r="P21" s="7">
        <f t="shared" si="2"/>
        <v>-0.11524121200280044</v>
      </c>
      <c r="Q21" s="7">
        <f t="shared" si="11"/>
        <v>9.0392153254448757E-2</v>
      </c>
      <c r="R21" s="7">
        <f t="shared" si="3"/>
        <v>9.1028242095624545E-2</v>
      </c>
      <c r="S21" s="7">
        <f t="shared" si="4"/>
        <v>-6.3608884117578868E-4</v>
      </c>
      <c r="T21" s="7">
        <f t="shared" si="5"/>
        <v>7.7761846010203736E-2</v>
      </c>
      <c r="U21" s="7">
        <f t="shared" si="6"/>
        <v>1.263030724424502E-2</v>
      </c>
      <c r="V21" s="7">
        <f t="shared" si="9"/>
        <v>5.6008726941174557E-2</v>
      </c>
      <c r="W21" s="7">
        <f t="shared" si="7"/>
        <v>3.43834263132742E-2</v>
      </c>
      <c r="X21" s="24">
        <v>0.20000819201768796</v>
      </c>
      <c r="Y21" s="24">
        <v>0.198480157203443</v>
      </c>
      <c r="Z21" s="23">
        <v>0.3807248410432339</v>
      </c>
      <c r="AA21" s="20">
        <v>0.36304297473520558</v>
      </c>
    </row>
    <row r="22" spans="1:27" ht="17" thickBot="1" x14ac:dyDescent="0.25">
      <c r="A22" s="33">
        <v>40</v>
      </c>
      <c r="B22" s="8" t="s">
        <v>48</v>
      </c>
      <c r="C22" s="18">
        <v>977</v>
      </c>
      <c r="D22" s="22">
        <v>984</v>
      </c>
      <c r="E22" s="7">
        <f t="shared" si="10"/>
        <v>7.164790174002047E-3</v>
      </c>
      <c r="F22" s="22">
        <v>883</v>
      </c>
      <c r="G22" s="7">
        <f t="shared" si="12"/>
        <v>0.1143827859569649</v>
      </c>
      <c r="H22" s="18">
        <v>510</v>
      </c>
      <c r="I22" s="7">
        <f t="shared" si="8"/>
        <v>0.92941176470588238</v>
      </c>
      <c r="J22" s="22">
        <v>7417</v>
      </c>
      <c r="K22" s="22">
        <v>7663</v>
      </c>
      <c r="L22" s="7">
        <f t="shared" si="0"/>
        <v>-3.210230980033929E-2</v>
      </c>
      <c r="M22" s="22">
        <v>7128</v>
      </c>
      <c r="N22" s="7">
        <f t="shared" si="1"/>
        <v>4.054433221099888E-2</v>
      </c>
      <c r="O22" s="22">
        <v>7519</v>
      </c>
      <c r="P22" s="7">
        <f t="shared" si="2"/>
        <v>-1.3565633727889347E-2</v>
      </c>
      <c r="Q22" s="7">
        <f t="shared" si="11"/>
        <v>0.13266819468787919</v>
      </c>
      <c r="R22" s="7">
        <f t="shared" si="3"/>
        <v>0.12749575884118491</v>
      </c>
      <c r="S22" s="7">
        <f t="shared" si="4"/>
        <v>5.1724358466942733E-3</v>
      </c>
      <c r="T22" s="7">
        <f t="shared" si="5"/>
        <v>0.12387766554433222</v>
      </c>
      <c r="U22" s="7">
        <f t="shared" si="6"/>
        <v>8.7905291435469712E-3</v>
      </c>
      <c r="V22" s="7">
        <f t="shared" si="9"/>
        <v>6.782816863944674E-2</v>
      </c>
      <c r="W22" s="7">
        <f t="shared" si="7"/>
        <v>6.4840026048432448E-2</v>
      </c>
      <c r="X22" s="24">
        <v>0.14252855004686493</v>
      </c>
      <c r="Y22" s="24">
        <v>0.1373243392372335</v>
      </c>
      <c r="Z22" s="23">
        <v>0.39923380083393534</v>
      </c>
      <c r="AA22" s="20">
        <v>0.40920348335608048</v>
      </c>
    </row>
    <row r="23" spans="1:27" ht="17" thickBot="1" x14ac:dyDescent="0.25">
      <c r="A23" s="33">
        <v>41</v>
      </c>
      <c r="B23" s="8" t="s">
        <v>49</v>
      </c>
      <c r="C23" s="18">
        <v>2143</v>
      </c>
      <c r="D23" s="22">
        <v>2224</v>
      </c>
      <c r="E23" s="7">
        <f t="shared" si="10"/>
        <v>3.7797480167988798E-2</v>
      </c>
      <c r="F23" s="22">
        <v>1877</v>
      </c>
      <c r="G23" s="7">
        <f t="shared" si="12"/>
        <v>0.18486947256259989</v>
      </c>
      <c r="H23" s="18">
        <v>1317</v>
      </c>
      <c r="I23" s="7">
        <f t="shared" si="8"/>
        <v>0.68868640850417617</v>
      </c>
      <c r="J23" s="22">
        <v>24753</v>
      </c>
      <c r="K23" s="22">
        <v>24963</v>
      </c>
      <c r="L23" s="7">
        <f t="shared" si="0"/>
        <v>-8.4124504266314144E-3</v>
      </c>
      <c r="M23" s="22">
        <v>25764</v>
      </c>
      <c r="N23" s="7">
        <f t="shared" si="1"/>
        <v>-3.9240801117838842E-2</v>
      </c>
      <c r="O23" s="22">
        <v>25319</v>
      </c>
      <c r="P23" s="7">
        <f t="shared" si="2"/>
        <v>-2.2354753347288599E-2</v>
      </c>
      <c r="Q23" s="7">
        <f t="shared" si="11"/>
        <v>8.9847695228861144E-2</v>
      </c>
      <c r="R23" s="7">
        <f t="shared" si="3"/>
        <v>8.5847053639386287E-2</v>
      </c>
      <c r="S23" s="7">
        <f t="shared" si="4"/>
        <v>4.000641589474857E-3</v>
      </c>
      <c r="T23" s="7">
        <f t="shared" si="5"/>
        <v>7.2853594162397145E-2</v>
      </c>
      <c r="U23" s="7">
        <f t="shared" si="6"/>
        <v>1.6994101066463999E-2</v>
      </c>
      <c r="V23" s="7">
        <f t="shared" si="9"/>
        <v>5.2016272364627358E-2</v>
      </c>
      <c r="W23" s="7">
        <f t="shared" si="7"/>
        <v>3.7831422864233785E-2</v>
      </c>
      <c r="X23" s="24">
        <v>0.219900554918082</v>
      </c>
      <c r="Y23" s="24">
        <v>0.21860533745265967</v>
      </c>
      <c r="Z23" s="23">
        <v>0.47509131480517353</v>
      </c>
      <c r="AA23" s="20">
        <v>0.47938812772969946</v>
      </c>
    </row>
    <row r="24" spans="1:27" ht="17" thickBot="1" x14ac:dyDescent="0.25">
      <c r="A24" s="33">
        <v>42</v>
      </c>
      <c r="B24" s="8" t="s">
        <v>50</v>
      </c>
      <c r="C24" s="18">
        <v>1474</v>
      </c>
      <c r="D24" s="22">
        <v>1458</v>
      </c>
      <c r="E24" s="7">
        <f t="shared" si="10"/>
        <v>-1.0854816824966078E-2</v>
      </c>
      <c r="F24" s="22">
        <v>1467</v>
      </c>
      <c r="G24" s="7">
        <f t="shared" si="12"/>
        <v>-6.1349693251533744E-3</v>
      </c>
      <c r="H24" s="18">
        <v>1378</v>
      </c>
      <c r="I24" s="7">
        <f t="shared" si="8"/>
        <v>5.8055152394775038E-2</v>
      </c>
      <c r="J24" s="22">
        <v>14488</v>
      </c>
      <c r="K24" s="22">
        <v>14623</v>
      </c>
      <c r="L24" s="7">
        <f t="shared" si="0"/>
        <v>-9.2320317308349862E-3</v>
      </c>
      <c r="M24" s="22">
        <v>15509</v>
      </c>
      <c r="N24" s="7">
        <f t="shared" si="1"/>
        <v>-6.5832742278676901E-2</v>
      </c>
      <c r="O24" s="22">
        <v>15871</v>
      </c>
      <c r="P24" s="7">
        <f t="shared" si="2"/>
        <v>-8.7140066788482143E-2</v>
      </c>
      <c r="Q24" s="7">
        <f t="shared" si="11"/>
        <v>0.10063500828271674</v>
      </c>
      <c r="R24" s="7">
        <f t="shared" si="3"/>
        <v>0.10080010941667236</v>
      </c>
      <c r="S24" s="7">
        <f t="shared" si="4"/>
        <v>-1.651011339556252E-4</v>
      </c>
      <c r="T24" s="7">
        <f t="shared" si="5"/>
        <v>9.4590237926365339E-2</v>
      </c>
      <c r="U24" s="7">
        <f t="shared" si="6"/>
        <v>6.0447703563513977E-3</v>
      </c>
      <c r="V24" s="7">
        <f t="shared" si="9"/>
        <v>8.6825026778400857E-2</v>
      </c>
      <c r="W24" s="7">
        <f t="shared" si="7"/>
        <v>1.380998150431588E-2</v>
      </c>
      <c r="X24" s="28">
        <v>0.17672186991831426</v>
      </c>
      <c r="Y24" s="28">
        <v>0.17266690665082221</v>
      </c>
      <c r="Z24" s="41">
        <v>0.56477974176846735</v>
      </c>
      <c r="AA24" s="42">
        <v>0.57484453057691853</v>
      </c>
    </row>
    <row r="25" spans="1:27" ht="17" thickBot="1" x14ac:dyDescent="0.25">
      <c r="A25" s="33">
        <v>43</v>
      </c>
      <c r="B25" s="8" t="s">
        <v>51</v>
      </c>
      <c r="C25" s="18">
        <v>3456</v>
      </c>
      <c r="D25" s="22">
        <v>3662</v>
      </c>
      <c r="E25" s="7">
        <f t="shared" si="10"/>
        <v>5.9606481481481483E-2</v>
      </c>
      <c r="F25" s="22">
        <v>2628</v>
      </c>
      <c r="G25" s="7">
        <f t="shared" si="12"/>
        <v>0.393455098934551</v>
      </c>
      <c r="H25" s="18">
        <v>2221</v>
      </c>
      <c r="I25" s="7">
        <f t="shared" si="8"/>
        <v>0.64880684376407027</v>
      </c>
      <c r="J25" s="22">
        <v>33144</v>
      </c>
      <c r="K25" s="22">
        <v>33516</v>
      </c>
      <c r="L25" s="7">
        <f t="shared" si="0"/>
        <v>-1.1099176512710347E-2</v>
      </c>
      <c r="M25" s="22">
        <v>32588</v>
      </c>
      <c r="N25" s="7">
        <f t="shared" si="1"/>
        <v>1.7061495028844974E-2</v>
      </c>
      <c r="O25" s="22">
        <v>33098</v>
      </c>
      <c r="P25" s="7">
        <f t="shared" si="2"/>
        <v>1.3898120732370536E-3</v>
      </c>
      <c r="Q25" s="7">
        <f t="shared" si="11"/>
        <v>0.11048756939415882</v>
      </c>
      <c r="R25" s="7">
        <f t="shared" si="3"/>
        <v>0.10311493018259936</v>
      </c>
      <c r="S25" s="7">
        <f t="shared" si="4"/>
        <v>7.3726392115594647E-3</v>
      </c>
      <c r="T25" s="7">
        <f t="shared" si="5"/>
        <v>8.0643181539216888E-2</v>
      </c>
      <c r="U25" s="7">
        <f t="shared" si="6"/>
        <v>2.9844387854941937E-2</v>
      </c>
      <c r="V25" s="7">
        <f t="shared" si="9"/>
        <v>6.7103752492597743E-2</v>
      </c>
      <c r="W25" s="7">
        <f t="shared" si="7"/>
        <v>4.3383816901561081E-2</v>
      </c>
      <c r="X25" s="24">
        <v>0.22125992606984263</v>
      </c>
      <c r="Y25" s="24">
        <v>0.21468497420151211</v>
      </c>
      <c r="Z25" s="23">
        <v>0.42211845906365875</v>
      </c>
      <c r="AA25" s="20">
        <v>0.43168451288257859</v>
      </c>
    </row>
    <row r="26" spans="1:27" ht="17" thickBot="1" x14ac:dyDescent="0.25">
      <c r="A26" s="33">
        <v>44</v>
      </c>
      <c r="B26" s="8" t="s">
        <v>52</v>
      </c>
      <c r="C26" s="18">
        <v>2505</v>
      </c>
      <c r="D26" s="22">
        <v>2523</v>
      </c>
      <c r="E26" s="7">
        <f t="shared" si="10"/>
        <v>7.18562874251497E-3</v>
      </c>
      <c r="F26" s="22">
        <v>2212</v>
      </c>
      <c r="G26" s="7">
        <f t="shared" si="12"/>
        <v>0.14059674502712477</v>
      </c>
      <c r="H26" s="18">
        <v>1853</v>
      </c>
      <c r="I26" s="7">
        <f t="shared" si="8"/>
        <v>0.36157582298974633</v>
      </c>
      <c r="J26" s="22">
        <v>15876</v>
      </c>
      <c r="K26" s="22">
        <v>15767</v>
      </c>
      <c r="L26" s="7">
        <f t="shared" si="0"/>
        <v>6.913173083021501E-3</v>
      </c>
      <c r="M26" s="22">
        <v>16705</v>
      </c>
      <c r="N26" s="7">
        <f t="shared" si="1"/>
        <v>-4.9625860520802152E-2</v>
      </c>
      <c r="O26" s="22">
        <v>18610</v>
      </c>
      <c r="P26" s="7">
        <f t="shared" si="2"/>
        <v>-0.14691026329930146</v>
      </c>
      <c r="Q26" s="7">
        <f t="shared" si="11"/>
        <v>0.1589191232048375</v>
      </c>
      <c r="R26" s="7">
        <f t="shared" si="3"/>
        <v>0.15887613369696202</v>
      </c>
      <c r="S26" s="7">
        <f t="shared" si="4"/>
        <v>4.2989507875484945E-5</v>
      </c>
      <c r="T26" s="7">
        <f t="shared" si="5"/>
        <v>0.13241544447770129</v>
      </c>
      <c r="U26" s="7">
        <f t="shared" si="6"/>
        <v>2.6503678727136215E-2</v>
      </c>
      <c r="V26" s="7">
        <f t="shared" si="9"/>
        <v>9.9570123589468026E-2</v>
      </c>
      <c r="W26" s="7">
        <f t="shared" si="7"/>
        <v>5.9348999615369477E-2</v>
      </c>
      <c r="X26" s="28">
        <v>0.14105699705627001</v>
      </c>
      <c r="Y26" s="28">
        <v>0.13710817533874309</v>
      </c>
      <c r="Z26" s="23">
        <v>0.30817980620281088</v>
      </c>
      <c r="AA26" s="20">
        <v>0.30532901056407863</v>
      </c>
    </row>
    <row r="27" spans="1:27" ht="17" thickBot="1" x14ac:dyDescent="0.25">
      <c r="A27" s="33">
        <v>45</v>
      </c>
      <c r="B27" s="8" t="s">
        <v>53</v>
      </c>
      <c r="C27" s="18">
        <v>938</v>
      </c>
      <c r="D27" s="22">
        <v>980</v>
      </c>
      <c r="E27" s="7">
        <f t="shared" si="10"/>
        <v>4.4776119402985072E-2</v>
      </c>
      <c r="F27" s="22">
        <v>884</v>
      </c>
      <c r="G27" s="7">
        <f t="shared" si="12"/>
        <v>0.10859728506787331</v>
      </c>
      <c r="H27" s="18">
        <v>626</v>
      </c>
      <c r="I27" s="7">
        <f t="shared" si="8"/>
        <v>0.56549520766773165</v>
      </c>
      <c r="J27" s="22">
        <v>7268</v>
      </c>
      <c r="K27" s="22">
        <v>7131</v>
      </c>
      <c r="L27" s="7">
        <f t="shared" si="0"/>
        <v>1.9211891740288881E-2</v>
      </c>
      <c r="M27" s="22">
        <v>6920</v>
      </c>
      <c r="N27" s="7">
        <f t="shared" si="1"/>
        <v>5.0289017341040465E-2</v>
      </c>
      <c r="O27" s="22">
        <v>6685</v>
      </c>
      <c r="P27" s="7">
        <f t="shared" si="2"/>
        <v>8.721017202692595E-2</v>
      </c>
      <c r="Q27" s="7">
        <f t="shared" si="11"/>
        <v>0.13483764446890478</v>
      </c>
      <c r="R27" s="7">
        <f t="shared" si="3"/>
        <v>0.13153835366708735</v>
      </c>
      <c r="S27" s="7">
        <f t="shared" si="4"/>
        <v>3.2992908018174283E-3</v>
      </c>
      <c r="T27" s="7">
        <f t="shared" si="5"/>
        <v>0.12774566473988438</v>
      </c>
      <c r="U27" s="7">
        <f t="shared" si="6"/>
        <v>7.0919797290203979E-3</v>
      </c>
      <c r="V27" s="7">
        <f t="shared" si="9"/>
        <v>9.364248317127899E-2</v>
      </c>
      <c r="W27" s="7">
        <f t="shared" si="7"/>
        <v>4.1195161297625793E-2</v>
      </c>
      <c r="X27" s="24">
        <v>0.10226778461481295</v>
      </c>
      <c r="Y27" s="24">
        <v>0.11077781091228289</v>
      </c>
      <c r="Z27" s="23">
        <v>0.45779595271364532</v>
      </c>
      <c r="AA27" s="20">
        <v>0.49849078960136567</v>
      </c>
    </row>
    <row r="28" spans="1:27" ht="17" thickBot="1" x14ac:dyDescent="0.25">
      <c r="A28" s="34">
        <v>46</v>
      </c>
      <c r="B28" s="9" t="s">
        <v>10</v>
      </c>
      <c r="C28" s="18"/>
      <c r="D28" s="22"/>
      <c r="E28" s="7"/>
      <c r="F28" s="22"/>
      <c r="G28" s="7"/>
      <c r="H28" s="18"/>
      <c r="I28" s="7"/>
      <c r="J28" s="22"/>
      <c r="K28" s="22"/>
      <c r="L28" s="7"/>
      <c r="M28" s="22"/>
      <c r="N28" s="7"/>
      <c r="O28" s="35"/>
      <c r="P28" s="7"/>
      <c r="Q28" s="7"/>
      <c r="R28" s="7"/>
      <c r="S28" s="7"/>
      <c r="T28" s="7"/>
      <c r="U28" s="7"/>
      <c r="V28" s="7"/>
      <c r="W28" s="7"/>
      <c r="X28" s="24"/>
      <c r="Y28" s="24"/>
      <c r="Z28" s="23"/>
      <c r="AA28" s="38"/>
    </row>
    <row r="29" spans="1:27" ht="17" thickBot="1" x14ac:dyDescent="0.25">
      <c r="A29" s="33">
        <v>47</v>
      </c>
      <c r="B29" s="8" t="s">
        <v>54</v>
      </c>
      <c r="C29" s="18">
        <v>84</v>
      </c>
      <c r="D29" s="22">
        <v>98</v>
      </c>
      <c r="E29" s="7">
        <f>(D29-C29)/C29</f>
        <v>0.16666666666666666</v>
      </c>
      <c r="F29" s="22">
        <v>0</v>
      </c>
      <c r="G29" s="7"/>
      <c r="H29" s="18"/>
      <c r="I29" s="7"/>
      <c r="J29" s="22">
        <v>2114</v>
      </c>
      <c r="K29" s="22">
        <v>2102</v>
      </c>
      <c r="L29" s="7">
        <f t="shared" si="0"/>
        <v>5.708848715509039E-3</v>
      </c>
      <c r="M29" s="22">
        <v>2354</v>
      </c>
      <c r="N29" s="7">
        <f t="shared" si="1"/>
        <v>-0.10195412064570943</v>
      </c>
      <c r="O29" s="22">
        <v>2695</v>
      </c>
      <c r="P29" s="7">
        <f t="shared" si="2"/>
        <v>-0.21558441558441557</v>
      </c>
      <c r="Q29" s="7">
        <f>D29/J29</f>
        <v>4.6357615894039736E-2</v>
      </c>
      <c r="R29" s="7">
        <f t="shared" si="3"/>
        <v>3.9961941008563276E-2</v>
      </c>
      <c r="S29" s="7">
        <f t="shared" si="4"/>
        <v>6.39567488547646E-3</v>
      </c>
      <c r="T29" s="7">
        <f t="shared" si="5"/>
        <v>0</v>
      </c>
      <c r="U29" s="7">
        <f t="shared" si="6"/>
        <v>4.6357615894039736E-2</v>
      </c>
      <c r="V29" s="7">
        <f t="shared" si="9"/>
        <v>0</v>
      </c>
      <c r="W29" s="7">
        <f t="shared" si="7"/>
        <v>4.6357615894039736E-2</v>
      </c>
      <c r="X29" s="29"/>
      <c r="Y29" s="29"/>
      <c r="Z29" s="39"/>
      <c r="AA29" s="30"/>
    </row>
    <row r="30" spans="1:27" ht="17" thickBot="1" x14ac:dyDescent="0.25">
      <c r="A30" s="33">
        <v>48</v>
      </c>
      <c r="B30" s="8" t="s">
        <v>55</v>
      </c>
      <c r="C30" s="18">
        <v>506</v>
      </c>
      <c r="D30" s="22">
        <v>660</v>
      </c>
      <c r="E30" s="7">
        <f>(D30-C30)/C30</f>
        <v>0.30434782608695654</v>
      </c>
      <c r="F30" s="22">
        <v>320</v>
      </c>
      <c r="G30" s="7">
        <f>(D30-F30)/F30</f>
        <v>1.0625</v>
      </c>
      <c r="H30" s="18">
        <v>262</v>
      </c>
      <c r="I30" s="7">
        <f t="shared" si="8"/>
        <v>1.5190839694656488</v>
      </c>
      <c r="J30" s="22">
        <v>4596</v>
      </c>
      <c r="K30" s="22">
        <v>4480</v>
      </c>
      <c r="L30" s="7">
        <f t="shared" si="0"/>
        <v>2.5892857142857145E-2</v>
      </c>
      <c r="M30" s="22">
        <v>4210</v>
      </c>
      <c r="N30" s="7">
        <f t="shared" si="1"/>
        <v>9.1686460807600956E-2</v>
      </c>
      <c r="O30" s="22">
        <v>4551</v>
      </c>
      <c r="P30" s="7">
        <f>(J30-O30)/O30</f>
        <v>9.8879367172050106E-3</v>
      </c>
      <c r="Q30" s="7">
        <f>D30/J30</f>
        <v>0.14360313315926893</v>
      </c>
      <c r="R30" s="7">
        <f t="shared" si="3"/>
        <v>0.11294642857142857</v>
      </c>
      <c r="S30" s="7">
        <f t="shared" si="4"/>
        <v>3.0656704587840353E-2</v>
      </c>
      <c r="T30" s="7">
        <f t="shared" si="5"/>
        <v>7.6009501187648459E-2</v>
      </c>
      <c r="U30" s="7">
        <f t="shared" si="6"/>
        <v>6.7593631971620466E-2</v>
      </c>
      <c r="V30" s="7">
        <f t="shared" si="9"/>
        <v>5.7569764886838057E-2</v>
      </c>
      <c r="W30" s="7">
        <f t="shared" si="7"/>
        <v>8.6033368272430868E-2</v>
      </c>
      <c r="X30" s="29"/>
      <c r="Y30" s="29"/>
      <c r="Z30" s="23">
        <v>0.61203102453102465</v>
      </c>
      <c r="AA30" s="20">
        <v>0.5922132034632035</v>
      </c>
    </row>
    <row r="31" spans="1:27" ht="17" thickBot="1" x14ac:dyDescent="0.25">
      <c r="A31" s="34">
        <v>49</v>
      </c>
      <c r="B31" s="9" t="s">
        <v>13</v>
      </c>
      <c r="C31" s="18"/>
      <c r="D31" s="22"/>
      <c r="E31" s="7"/>
      <c r="F31" s="22"/>
      <c r="G31" s="7"/>
      <c r="H31" s="18"/>
      <c r="I31" s="7"/>
      <c r="J31" s="22"/>
      <c r="K31" s="22"/>
      <c r="L31" s="7"/>
      <c r="M31" s="22"/>
      <c r="N31" s="7"/>
      <c r="O31" s="22"/>
      <c r="P31" s="7"/>
      <c r="Q31" s="7"/>
      <c r="R31" s="7"/>
      <c r="S31" s="7"/>
      <c r="T31" s="7"/>
      <c r="U31" s="7"/>
      <c r="V31" s="7"/>
      <c r="W31" s="7"/>
      <c r="X31" s="24"/>
      <c r="Y31" s="24"/>
      <c r="Z31" s="23"/>
      <c r="AA31" s="38"/>
    </row>
    <row r="32" spans="1:27" ht="17" thickBot="1" x14ac:dyDescent="0.25">
      <c r="A32" s="33">
        <v>50</v>
      </c>
      <c r="B32" s="8" t="s">
        <v>56</v>
      </c>
      <c r="C32" s="18">
        <v>40</v>
      </c>
      <c r="D32" s="22">
        <v>33</v>
      </c>
      <c r="E32" s="7">
        <f>(D32-C32)/C32</f>
        <v>-0.17499999999999999</v>
      </c>
      <c r="F32" s="22">
        <v>14</v>
      </c>
      <c r="G32" s="7">
        <f>(D32-F32)/F32</f>
        <v>1.3571428571428572</v>
      </c>
      <c r="H32" s="35"/>
      <c r="I32" s="7"/>
      <c r="J32" s="22">
        <v>564</v>
      </c>
      <c r="K32" s="22">
        <v>616</v>
      </c>
      <c r="L32" s="7">
        <f t="shared" si="0"/>
        <v>-8.4415584415584416E-2</v>
      </c>
      <c r="M32" s="22">
        <v>716</v>
      </c>
      <c r="N32" s="7">
        <f t="shared" si="1"/>
        <v>-0.21229050279329609</v>
      </c>
      <c r="O32" s="22">
        <v>877</v>
      </c>
      <c r="P32" s="7">
        <f t="shared" si="2"/>
        <v>-0.35689851767388825</v>
      </c>
      <c r="Q32" s="7">
        <f>D32/J32</f>
        <v>5.8510638297872342E-2</v>
      </c>
      <c r="R32" s="7">
        <f t="shared" si="3"/>
        <v>6.4935064935064929E-2</v>
      </c>
      <c r="S32" s="7">
        <f t="shared" si="4"/>
        <v>-6.4244266371925873E-3</v>
      </c>
      <c r="T32" s="7">
        <f t="shared" si="5"/>
        <v>1.9553072625698324E-2</v>
      </c>
      <c r="U32" s="7">
        <f t="shared" si="6"/>
        <v>3.8957565672174017E-2</v>
      </c>
      <c r="V32" s="7">
        <f t="shared" si="9"/>
        <v>0</v>
      </c>
      <c r="W32" s="7">
        <f t="shared" si="7"/>
        <v>5.8510638297872342E-2</v>
      </c>
      <c r="X32" s="29"/>
      <c r="Y32" s="43">
        <v>0.1429</v>
      </c>
      <c r="Z32" s="39"/>
      <c r="AA32" s="30"/>
    </row>
    <row r="33" spans="1:27" ht="17" thickBot="1" x14ac:dyDescent="0.25">
      <c r="A33" s="34">
        <v>51</v>
      </c>
      <c r="B33" s="9" t="s">
        <v>5</v>
      </c>
      <c r="C33" s="18"/>
      <c r="D33" s="22"/>
      <c r="E33" s="7"/>
      <c r="F33" s="22"/>
      <c r="G33" s="7"/>
      <c r="H33" s="18"/>
      <c r="I33" s="7"/>
      <c r="J33" s="22"/>
      <c r="K33" s="22"/>
      <c r="L33" s="7"/>
      <c r="M33" s="22"/>
      <c r="N33" s="7"/>
      <c r="O33" s="22"/>
      <c r="P33" s="7"/>
      <c r="Q33" s="7"/>
      <c r="R33" s="7"/>
      <c r="S33" s="7"/>
      <c r="T33" s="7"/>
      <c r="U33" s="7"/>
      <c r="V33" s="7"/>
      <c r="W33" s="7"/>
      <c r="X33" s="24"/>
      <c r="Y33" s="24"/>
      <c r="Z33" s="23"/>
      <c r="AA33" s="38"/>
    </row>
    <row r="34" spans="1:27" ht="17" thickBot="1" x14ac:dyDescent="0.25">
      <c r="A34" s="33">
        <v>52</v>
      </c>
      <c r="B34" s="8" t="s">
        <v>57</v>
      </c>
      <c r="C34" s="18">
        <v>176</v>
      </c>
      <c r="D34" s="22">
        <v>165</v>
      </c>
      <c r="E34" s="7">
        <f>(D34-C34)/C34</f>
        <v>-6.25E-2</v>
      </c>
      <c r="F34" s="22">
        <v>174</v>
      </c>
      <c r="G34" s="7">
        <f>(D34-F34)/F34</f>
        <v>-5.1724137931034482E-2</v>
      </c>
      <c r="H34" s="18">
        <v>170</v>
      </c>
      <c r="I34" s="7">
        <f t="shared" si="8"/>
        <v>-2.9411764705882353E-2</v>
      </c>
      <c r="J34" s="27">
        <v>2066</v>
      </c>
      <c r="K34" s="27">
        <v>2103</v>
      </c>
      <c r="L34" s="7">
        <f t="shared" si="0"/>
        <v>-1.7593913456966238E-2</v>
      </c>
      <c r="M34" s="27">
        <v>2400</v>
      </c>
      <c r="N34" s="7">
        <f t="shared" si="1"/>
        <v>-0.13916666666666666</v>
      </c>
      <c r="O34" s="22">
        <v>2834</v>
      </c>
      <c r="P34" s="7">
        <f t="shared" si="2"/>
        <v>-0.27099505998588569</v>
      </c>
      <c r="Q34" s="7">
        <f>D34/J34</f>
        <v>7.9864472410454981E-2</v>
      </c>
      <c r="R34" s="7">
        <f t="shared" si="3"/>
        <v>8.3689966714217787E-2</v>
      </c>
      <c r="S34" s="7">
        <f t="shared" si="4"/>
        <v>-3.8254943037628053E-3</v>
      </c>
      <c r="T34" s="7">
        <f t="shared" si="5"/>
        <v>7.2499999999999995E-2</v>
      </c>
      <c r="U34" s="7">
        <f t="shared" si="6"/>
        <v>7.3644724104549864E-3</v>
      </c>
      <c r="V34" s="7">
        <f t="shared" si="9"/>
        <v>5.9985885673959072E-2</v>
      </c>
      <c r="W34" s="7">
        <f t="shared" si="7"/>
        <v>1.987858673649591E-2</v>
      </c>
      <c r="X34" s="24">
        <v>0.34802685237467801</v>
      </c>
      <c r="Y34" s="24">
        <v>0.3276</v>
      </c>
      <c r="Z34" s="44">
        <v>0.23295454545454547</v>
      </c>
      <c r="AA34" s="20"/>
    </row>
    <row r="35" spans="1:27" ht="17" thickBot="1" x14ac:dyDescent="0.25">
      <c r="A35" s="34">
        <v>53</v>
      </c>
      <c r="B35" s="9" t="s">
        <v>6</v>
      </c>
      <c r="C35" s="18"/>
      <c r="D35" s="22"/>
      <c r="E35" s="7"/>
      <c r="F35" s="22"/>
      <c r="G35" s="7"/>
      <c r="H35" s="18"/>
      <c r="I35" s="7"/>
      <c r="J35" s="22"/>
      <c r="K35" s="22"/>
      <c r="L35" s="7"/>
      <c r="M35" s="22"/>
      <c r="N35" s="7"/>
      <c r="O35" s="22"/>
      <c r="P35" s="7"/>
      <c r="Q35" s="7"/>
      <c r="R35" s="7"/>
      <c r="S35" s="7"/>
      <c r="T35" s="7"/>
      <c r="U35" s="7"/>
      <c r="V35" s="7"/>
      <c r="W35" s="7"/>
      <c r="X35" s="24"/>
      <c r="Y35" s="24"/>
      <c r="Z35" s="23"/>
      <c r="AA35" s="38"/>
    </row>
    <row r="36" spans="1:27" ht="17" thickBot="1" x14ac:dyDescent="0.25">
      <c r="A36" s="33">
        <v>54</v>
      </c>
      <c r="B36" s="8" t="s">
        <v>58</v>
      </c>
      <c r="C36" s="18">
        <v>193</v>
      </c>
      <c r="D36" s="22">
        <v>194</v>
      </c>
      <c r="E36" s="7">
        <f t="shared" ref="E36:E51" si="13">(D36-C36)/C36</f>
        <v>5.1813471502590676E-3</v>
      </c>
      <c r="F36" s="22">
        <v>161</v>
      </c>
      <c r="G36" s="7">
        <f>(D36-F36)/F36</f>
        <v>0.20496894409937888</v>
      </c>
      <c r="H36" s="18">
        <v>107</v>
      </c>
      <c r="I36" s="7">
        <f t="shared" si="8"/>
        <v>0.81308411214953269</v>
      </c>
      <c r="J36" s="22">
        <v>2072</v>
      </c>
      <c r="K36" s="22">
        <v>2184</v>
      </c>
      <c r="L36" s="7">
        <f t="shared" si="0"/>
        <v>-5.128205128205128E-2</v>
      </c>
      <c r="M36" s="22">
        <v>2438</v>
      </c>
      <c r="N36" s="7">
        <f t="shared" si="1"/>
        <v>-0.15012305168170631</v>
      </c>
      <c r="O36" s="22">
        <v>2661</v>
      </c>
      <c r="P36" s="7">
        <f t="shared" si="2"/>
        <v>-0.22134535888763623</v>
      </c>
      <c r="Q36" s="7">
        <f t="shared" ref="Q36:Q51" si="14">D36/J36</f>
        <v>9.3629343629343623E-2</v>
      </c>
      <c r="R36" s="7">
        <f t="shared" si="3"/>
        <v>8.8369963369963375E-2</v>
      </c>
      <c r="S36" s="7">
        <f t="shared" si="4"/>
        <v>5.2593802593802474E-3</v>
      </c>
      <c r="T36" s="7">
        <f t="shared" si="5"/>
        <v>6.6037735849056603E-2</v>
      </c>
      <c r="U36" s="7">
        <f t="shared" si="6"/>
        <v>2.759160778028702E-2</v>
      </c>
      <c r="V36" s="7">
        <f t="shared" si="9"/>
        <v>4.0210447200300641E-2</v>
      </c>
      <c r="W36" s="7">
        <f t="shared" si="7"/>
        <v>5.3418896429042982E-2</v>
      </c>
      <c r="X36" s="24">
        <v>9.7270256916996048E-2</v>
      </c>
      <c r="Y36" s="24">
        <v>0.11534561453039714</v>
      </c>
      <c r="Z36" s="39"/>
      <c r="AA36" s="30"/>
    </row>
    <row r="37" spans="1:27" ht="17" thickBot="1" x14ac:dyDescent="0.25">
      <c r="A37" s="33">
        <v>57</v>
      </c>
      <c r="B37" s="8" t="s">
        <v>59</v>
      </c>
      <c r="C37" s="18">
        <v>925</v>
      </c>
      <c r="D37" s="27">
        <v>1001</v>
      </c>
      <c r="E37" s="7">
        <f t="shared" si="13"/>
        <v>8.2162162162162156E-2</v>
      </c>
      <c r="F37" s="27">
        <v>751</v>
      </c>
      <c r="G37" s="7">
        <f>(D37-F37)/F37</f>
        <v>0.33288948069241014</v>
      </c>
      <c r="H37" s="18">
        <v>631</v>
      </c>
      <c r="I37" s="7">
        <f t="shared" si="8"/>
        <v>0.58637083993660855</v>
      </c>
      <c r="J37" s="22">
        <v>12915</v>
      </c>
      <c r="K37" s="22">
        <v>13012</v>
      </c>
      <c r="L37" s="7">
        <f t="shared" si="0"/>
        <v>-7.454657239471257E-3</v>
      </c>
      <c r="M37" s="22">
        <v>14428</v>
      </c>
      <c r="N37" s="7">
        <f t="shared" si="1"/>
        <v>-0.10486553922927641</v>
      </c>
      <c r="O37" s="27">
        <v>16775</v>
      </c>
      <c r="P37" s="7">
        <f t="shared" si="2"/>
        <v>-0.23010432190760061</v>
      </c>
      <c r="Q37" s="7">
        <f t="shared" si="14"/>
        <v>7.750677506775068E-2</v>
      </c>
      <c r="R37" s="7">
        <f t="shared" si="3"/>
        <v>7.1088226252689818E-2</v>
      </c>
      <c r="S37" s="7">
        <f t="shared" si="4"/>
        <v>6.4185488150608622E-3</v>
      </c>
      <c r="T37" s="7">
        <f t="shared" si="5"/>
        <v>5.2051566398669251E-2</v>
      </c>
      <c r="U37" s="7">
        <f t="shared" si="6"/>
        <v>2.5455208669081429E-2</v>
      </c>
      <c r="V37" s="7">
        <f t="shared" si="9"/>
        <v>3.7615499254843518E-2</v>
      </c>
      <c r="W37" s="7">
        <f t="shared" si="7"/>
        <v>3.9891275812907162E-2</v>
      </c>
      <c r="X37" s="24">
        <v>0.26168799123313535</v>
      </c>
      <c r="Y37" s="24">
        <v>0.23679953326653877</v>
      </c>
      <c r="Z37" s="23">
        <v>0.3590653253771004</v>
      </c>
      <c r="AA37" s="20">
        <v>0.36893878953945691</v>
      </c>
    </row>
    <row r="38" spans="1:27" ht="17" thickBot="1" x14ac:dyDescent="0.25">
      <c r="A38" s="33">
        <v>58</v>
      </c>
      <c r="B38" s="8" t="s">
        <v>60</v>
      </c>
      <c r="C38" s="18">
        <v>178</v>
      </c>
      <c r="D38" s="27">
        <v>162</v>
      </c>
      <c r="E38" s="7">
        <f t="shared" si="13"/>
        <v>-8.98876404494382E-2</v>
      </c>
      <c r="F38" s="27">
        <v>160</v>
      </c>
      <c r="G38" s="7">
        <f>(D38-F38)/F38</f>
        <v>1.2500000000000001E-2</v>
      </c>
      <c r="H38" s="18">
        <v>194</v>
      </c>
      <c r="I38" s="7">
        <f t="shared" si="8"/>
        <v>-0.16494845360824742</v>
      </c>
      <c r="J38" s="22">
        <v>2397</v>
      </c>
      <c r="K38" s="22">
        <v>2397</v>
      </c>
      <c r="L38" s="7">
        <f t="shared" si="0"/>
        <v>0</v>
      </c>
      <c r="M38" s="22">
        <v>2713</v>
      </c>
      <c r="N38" s="7">
        <f t="shared" si="1"/>
        <v>-0.11647622558053815</v>
      </c>
      <c r="O38" s="27">
        <v>3218</v>
      </c>
      <c r="P38" s="7">
        <f t="shared" si="2"/>
        <v>-0.25512740832815411</v>
      </c>
      <c r="Q38" s="7">
        <f t="shared" si="14"/>
        <v>6.7584480600750937E-2</v>
      </c>
      <c r="R38" s="7">
        <f t="shared" si="3"/>
        <v>7.4259491030454733E-2</v>
      </c>
      <c r="S38" s="7">
        <f t="shared" si="4"/>
        <v>-6.6750104297037954E-3</v>
      </c>
      <c r="T38" s="7">
        <f t="shared" si="5"/>
        <v>5.8975304091411725E-2</v>
      </c>
      <c r="U38" s="7">
        <f t="shared" si="6"/>
        <v>8.6091765093392128E-3</v>
      </c>
      <c r="V38" s="7">
        <f t="shared" si="9"/>
        <v>6.028589185829708E-2</v>
      </c>
      <c r="W38" s="7">
        <f t="shared" si="7"/>
        <v>7.298588742453857E-3</v>
      </c>
      <c r="X38" s="24">
        <v>0.219671026305259</v>
      </c>
      <c r="Y38" s="24">
        <v>0.20103504559718627</v>
      </c>
      <c r="Z38" s="23"/>
      <c r="AA38" s="20"/>
    </row>
    <row r="39" spans="1:27" ht="16.5" customHeight="1" thickBot="1" x14ac:dyDescent="0.25">
      <c r="A39" s="33">
        <v>59</v>
      </c>
      <c r="B39" s="8" t="s">
        <v>61</v>
      </c>
      <c r="C39" s="18">
        <v>393</v>
      </c>
      <c r="D39" s="27">
        <v>381</v>
      </c>
      <c r="E39" s="7">
        <f t="shared" si="13"/>
        <v>-3.0534351145038167E-2</v>
      </c>
      <c r="F39" s="27">
        <v>393</v>
      </c>
      <c r="G39" s="7">
        <f>(D39-F39)/F39</f>
        <v>-3.0534351145038167E-2</v>
      </c>
      <c r="H39" s="19" t="s">
        <v>85</v>
      </c>
      <c r="I39" s="7"/>
      <c r="J39" s="27">
        <v>3500</v>
      </c>
      <c r="K39" s="27">
        <v>3646</v>
      </c>
      <c r="L39" s="7">
        <f t="shared" si="0"/>
        <v>-4.0043883708173342E-2</v>
      </c>
      <c r="M39" s="27">
        <v>4131</v>
      </c>
      <c r="N39" s="7">
        <f t="shared" si="1"/>
        <v>-0.15274751876059064</v>
      </c>
      <c r="O39" s="27">
        <v>4811</v>
      </c>
      <c r="P39" s="7">
        <f t="shared" si="2"/>
        <v>-0.27250051964248595</v>
      </c>
      <c r="Q39" s="7">
        <f t="shared" si="14"/>
        <v>0.10885714285714286</v>
      </c>
      <c r="R39" s="7">
        <f t="shared" si="3"/>
        <v>0.10778935820076796</v>
      </c>
      <c r="S39" s="7">
        <f t="shared" si="4"/>
        <v>1.0677846563749011E-3</v>
      </c>
      <c r="T39" s="7">
        <f t="shared" si="5"/>
        <v>9.5134350036310822E-2</v>
      </c>
      <c r="U39" s="7">
        <f t="shared" si="6"/>
        <v>1.3722792820832039E-2</v>
      </c>
      <c r="V39" s="7"/>
      <c r="W39" s="7">
        <f t="shared" si="7"/>
        <v>0.10885714285714286</v>
      </c>
      <c r="X39" s="24">
        <v>0.32152262373370866</v>
      </c>
      <c r="Y39" s="24">
        <v>0.37449703990977579</v>
      </c>
      <c r="Z39" s="23">
        <v>0.44510466385466385</v>
      </c>
      <c r="AA39" s="20">
        <v>0.45493665285331958</v>
      </c>
    </row>
    <row r="40" spans="1:27" ht="17" thickBot="1" x14ac:dyDescent="0.25">
      <c r="A40" s="33">
        <v>60</v>
      </c>
      <c r="B40" s="8" t="s">
        <v>62</v>
      </c>
      <c r="C40" s="18">
        <v>343</v>
      </c>
      <c r="D40" s="22">
        <v>343</v>
      </c>
      <c r="E40" s="7">
        <f t="shared" si="13"/>
        <v>0</v>
      </c>
      <c r="F40" s="36" t="s">
        <v>85</v>
      </c>
      <c r="G40" s="7"/>
      <c r="H40" s="18">
        <v>322</v>
      </c>
      <c r="I40" s="7">
        <f t="shared" si="8"/>
        <v>6.5217391304347824E-2</v>
      </c>
      <c r="J40" s="22">
        <v>6060</v>
      </c>
      <c r="K40" s="22">
        <v>5927</v>
      </c>
      <c r="L40" s="7">
        <f t="shared" si="0"/>
        <v>2.2439682807491142E-2</v>
      </c>
      <c r="M40" s="22">
        <v>6052</v>
      </c>
      <c r="N40" s="7">
        <f t="shared" si="1"/>
        <v>1.3218770654329147E-3</v>
      </c>
      <c r="O40" s="22">
        <v>6014</v>
      </c>
      <c r="P40" s="7">
        <f t="shared" si="2"/>
        <v>7.6488194213501833E-3</v>
      </c>
      <c r="Q40" s="7">
        <f t="shared" si="14"/>
        <v>5.66006600660066E-2</v>
      </c>
      <c r="R40" s="7">
        <f t="shared" si="3"/>
        <v>5.7870760924582418E-2</v>
      </c>
      <c r="S40" s="7">
        <f t="shared" si="4"/>
        <v>-1.2701008585758178E-3</v>
      </c>
      <c r="T40" s="7"/>
      <c r="U40" s="7">
        <f t="shared" si="6"/>
        <v>5.66006600660066E-2</v>
      </c>
      <c r="V40" s="7">
        <f t="shared" si="9"/>
        <v>5.3541735949451282E-2</v>
      </c>
      <c r="W40" s="7">
        <f t="shared" si="7"/>
        <v>3.0589241165553185E-3</v>
      </c>
      <c r="X40" s="24">
        <v>0.3599347743859031</v>
      </c>
      <c r="Y40" s="24">
        <v>0.34485794646123691</v>
      </c>
      <c r="Z40" s="23">
        <v>0.65574280412990082</v>
      </c>
      <c r="AA40" s="20">
        <v>0.65716163522615134</v>
      </c>
    </row>
    <row r="41" spans="1:27" ht="17" thickBot="1" x14ac:dyDescent="0.25">
      <c r="A41" s="33">
        <v>61</v>
      </c>
      <c r="B41" s="8" t="s">
        <v>63</v>
      </c>
      <c r="C41" s="18">
        <v>3609</v>
      </c>
      <c r="D41" s="22">
        <v>3679</v>
      </c>
      <c r="E41" s="7">
        <f t="shared" si="13"/>
        <v>1.9395954558049322E-2</v>
      </c>
      <c r="F41" s="22">
        <v>3017</v>
      </c>
      <c r="G41" s="7">
        <f t="shared" ref="G41:G51" si="15">(D41-F41)/F41</f>
        <v>0.21942326814716606</v>
      </c>
      <c r="H41" s="18">
        <v>2184</v>
      </c>
      <c r="I41" s="7">
        <f t="shared" si="8"/>
        <v>0.68452380952380953</v>
      </c>
      <c r="J41" s="22">
        <v>19546</v>
      </c>
      <c r="K41" s="22">
        <v>19500</v>
      </c>
      <c r="L41" s="7">
        <f t="shared" si="0"/>
        <v>2.3589743589743591E-3</v>
      </c>
      <c r="M41" s="22">
        <v>20478</v>
      </c>
      <c r="N41" s="7">
        <f t="shared" si="1"/>
        <v>-4.5512257056353159E-2</v>
      </c>
      <c r="O41" s="22">
        <v>21338</v>
      </c>
      <c r="P41" s="7">
        <f t="shared" si="2"/>
        <v>-8.3981629018652165E-2</v>
      </c>
      <c r="Q41" s="7">
        <f t="shared" si="14"/>
        <v>0.18822265425150925</v>
      </c>
      <c r="R41" s="7">
        <f t="shared" si="3"/>
        <v>0.18507692307692308</v>
      </c>
      <c r="S41" s="7">
        <f t="shared" si="4"/>
        <v>3.1457311745861638E-3</v>
      </c>
      <c r="T41" s="7">
        <f t="shared" si="5"/>
        <v>0.14732884070710031</v>
      </c>
      <c r="U41" s="7">
        <f t="shared" si="6"/>
        <v>4.0893813544408936E-2</v>
      </c>
      <c r="V41" s="7">
        <f t="shared" si="9"/>
        <v>0.10235261036648233</v>
      </c>
      <c r="W41" s="7">
        <f t="shared" si="7"/>
        <v>8.587004388502692E-2</v>
      </c>
      <c r="X41" s="24">
        <v>0.23511096480101121</v>
      </c>
      <c r="Y41" s="43">
        <v>0.22570000000000001</v>
      </c>
      <c r="Z41" s="23">
        <v>0.44738728161592206</v>
      </c>
      <c r="AA41" s="20">
        <v>0.44846058294164126</v>
      </c>
    </row>
    <row r="42" spans="1:27" ht="17" thickBot="1" x14ac:dyDescent="0.25">
      <c r="A42" s="33">
        <v>62</v>
      </c>
      <c r="B42" s="8" t="s">
        <v>64</v>
      </c>
      <c r="C42" s="18">
        <v>1031</v>
      </c>
      <c r="D42" s="22">
        <v>1124</v>
      </c>
      <c r="E42" s="7">
        <f t="shared" si="13"/>
        <v>9.0203685741998066E-2</v>
      </c>
      <c r="F42" s="22">
        <v>747</v>
      </c>
      <c r="G42" s="7">
        <f t="shared" si="15"/>
        <v>0.50468540829986608</v>
      </c>
      <c r="H42" s="18">
        <v>423</v>
      </c>
      <c r="I42" s="7">
        <f t="shared" si="8"/>
        <v>1.657210401891253</v>
      </c>
      <c r="J42" s="22">
        <v>9825</v>
      </c>
      <c r="K42" s="22">
        <v>9946</v>
      </c>
      <c r="L42" s="7">
        <f t="shared" si="0"/>
        <v>-1.2165694751658959E-2</v>
      </c>
      <c r="M42" s="22">
        <v>9268</v>
      </c>
      <c r="N42" s="7">
        <f t="shared" si="1"/>
        <v>6.0099266292619767E-2</v>
      </c>
      <c r="O42" s="22">
        <v>9325</v>
      </c>
      <c r="P42" s="7">
        <f t="shared" si="2"/>
        <v>5.3619302949061663E-2</v>
      </c>
      <c r="Q42" s="7">
        <f t="shared" si="14"/>
        <v>0.11440203562340967</v>
      </c>
      <c r="R42" s="7">
        <f t="shared" si="3"/>
        <v>0.10365976271868088</v>
      </c>
      <c r="S42" s="7">
        <f t="shared" si="4"/>
        <v>1.0742272904728789E-2</v>
      </c>
      <c r="T42" s="7">
        <f t="shared" si="5"/>
        <v>8.0599913681484683E-2</v>
      </c>
      <c r="U42" s="7">
        <f t="shared" si="6"/>
        <v>3.3802121941924987E-2</v>
      </c>
      <c r="V42" s="7">
        <f t="shared" si="9"/>
        <v>4.5361930294906164E-2</v>
      </c>
      <c r="W42" s="7">
        <f t="shared" si="7"/>
        <v>6.9040105328503507E-2</v>
      </c>
      <c r="X42" s="24">
        <v>0.1622879606194518</v>
      </c>
      <c r="Y42" s="24">
        <v>0.15700823416585014</v>
      </c>
      <c r="Z42" s="23">
        <v>0.30773484537493156</v>
      </c>
      <c r="AA42" s="20">
        <v>0.31657245484400659</v>
      </c>
    </row>
    <row r="43" spans="1:27" ht="17" thickBot="1" x14ac:dyDescent="0.25">
      <c r="A43" s="33">
        <v>63</v>
      </c>
      <c r="B43" s="8" t="s">
        <v>65</v>
      </c>
      <c r="C43" s="18">
        <v>895</v>
      </c>
      <c r="D43" s="22">
        <v>903</v>
      </c>
      <c r="E43" s="7">
        <f t="shared" si="13"/>
        <v>8.9385474860335188E-3</v>
      </c>
      <c r="F43" s="22">
        <v>868</v>
      </c>
      <c r="G43" s="7">
        <f t="shared" si="15"/>
        <v>4.0322580645161289E-2</v>
      </c>
      <c r="H43" s="18">
        <v>790</v>
      </c>
      <c r="I43" s="7">
        <f t="shared" si="8"/>
        <v>0.14303797468354432</v>
      </c>
      <c r="J43" s="22">
        <v>9185</v>
      </c>
      <c r="K43" s="22">
        <v>9815</v>
      </c>
      <c r="L43" s="7">
        <f t="shared" si="0"/>
        <v>-6.4187468160978089E-2</v>
      </c>
      <c r="M43" s="22">
        <v>9700</v>
      </c>
      <c r="N43" s="7">
        <f t="shared" si="1"/>
        <v>-5.3092783505154638E-2</v>
      </c>
      <c r="O43" s="22">
        <v>9367</v>
      </c>
      <c r="P43" s="7">
        <f t="shared" si="2"/>
        <v>-1.9429913526209031E-2</v>
      </c>
      <c r="Q43" s="7">
        <f t="shared" si="14"/>
        <v>9.8312465977136637E-2</v>
      </c>
      <c r="R43" s="7">
        <f t="shared" si="3"/>
        <v>9.1186958736627605E-2</v>
      </c>
      <c r="S43" s="7">
        <f t="shared" si="4"/>
        <v>7.1255072405090325E-3</v>
      </c>
      <c r="T43" s="7">
        <f t="shared" si="5"/>
        <v>8.9484536082474225E-2</v>
      </c>
      <c r="U43" s="7">
        <f t="shared" si="6"/>
        <v>8.8279298946624118E-3</v>
      </c>
      <c r="V43" s="7">
        <f t="shared" si="9"/>
        <v>8.4338635635742495E-2</v>
      </c>
      <c r="W43" s="7">
        <f t="shared" si="7"/>
        <v>1.3973830341394142E-2</v>
      </c>
      <c r="X43" s="24">
        <v>9.5874345247975501E-2</v>
      </c>
      <c r="Y43" s="24">
        <v>9.5760335330899199E-2</v>
      </c>
      <c r="Z43" s="23">
        <v>0.30851382993786058</v>
      </c>
      <c r="AA43" s="20">
        <v>0.3323407384075398</v>
      </c>
    </row>
    <row r="44" spans="1:27" ht="17" thickBot="1" x14ac:dyDescent="0.25">
      <c r="A44" s="33">
        <v>64</v>
      </c>
      <c r="B44" s="8" t="s">
        <v>66</v>
      </c>
      <c r="C44" s="18">
        <v>215</v>
      </c>
      <c r="D44" s="27">
        <v>177</v>
      </c>
      <c r="E44" s="7">
        <f t="shared" si="13"/>
        <v>-0.17674418604651163</v>
      </c>
      <c r="F44" s="27">
        <v>139</v>
      </c>
      <c r="G44" s="7">
        <f t="shared" si="15"/>
        <v>0.2733812949640288</v>
      </c>
      <c r="H44" s="18">
        <v>158</v>
      </c>
      <c r="I44" s="7">
        <f t="shared" si="8"/>
        <v>0.12025316455696203</v>
      </c>
      <c r="J44" s="22">
        <v>1715</v>
      </c>
      <c r="K44" s="22">
        <v>1757</v>
      </c>
      <c r="L44" s="7">
        <f t="shared" si="0"/>
        <v>-2.3904382470119521E-2</v>
      </c>
      <c r="M44" s="22">
        <v>1593</v>
      </c>
      <c r="N44" s="7">
        <f t="shared" si="1"/>
        <v>7.6585059635907088E-2</v>
      </c>
      <c r="O44" s="27">
        <v>1755</v>
      </c>
      <c r="P44" s="7">
        <f t="shared" si="2"/>
        <v>-2.2792022792022793E-2</v>
      </c>
      <c r="Q44" s="7">
        <f t="shared" si="14"/>
        <v>0.1032069970845481</v>
      </c>
      <c r="R44" s="7">
        <f t="shared" si="3"/>
        <v>0.12236767216846899</v>
      </c>
      <c r="S44" s="7">
        <f t="shared" si="4"/>
        <v>-1.9160675083920886E-2</v>
      </c>
      <c r="T44" s="7">
        <f t="shared" si="5"/>
        <v>8.7256748273697421E-2</v>
      </c>
      <c r="U44" s="7">
        <f t="shared" si="6"/>
        <v>1.5950248810850678E-2</v>
      </c>
      <c r="V44" s="7">
        <f t="shared" si="9"/>
        <v>9.0028490028490032E-2</v>
      </c>
      <c r="W44" s="7">
        <f t="shared" si="7"/>
        <v>1.3178507056058067E-2</v>
      </c>
      <c r="X44" s="29"/>
      <c r="Y44" s="29"/>
      <c r="Z44" s="23">
        <v>0.42666666666666664</v>
      </c>
      <c r="AA44" s="20"/>
    </row>
    <row r="45" spans="1:27" ht="17" thickBot="1" x14ac:dyDescent="0.25">
      <c r="A45" s="33">
        <v>67</v>
      </c>
      <c r="B45" s="8" t="s">
        <v>67</v>
      </c>
      <c r="C45" s="18">
        <v>676</v>
      </c>
      <c r="D45" s="22">
        <v>662</v>
      </c>
      <c r="E45" s="7">
        <f t="shared" si="13"/>
        <v>-2.0710059171597635E-2</v>
      </c>
      <c r="F45" s="22">
        <v>633</v>
      </c>
      <c r="G45" s="7">
        <f t="shared" si="15"/>
        <v>4.5813586097946286E-2</v>
      </c>
      <c r="H45" s="18">
        <v>462</v>
      </c>
      <c r="I45" s="7">
        <f t="shared" si="8"/>
        <v>0.4329004329004329</v>
      </c>
      <c r="J45" s="22">
        <v>5757</v>
      </c>
      <c r="K45" s="22">
        <v>5864</v>
      </c>
      <c r="L45" s="7">
        <f t="shared" si="0"/>
        <v>-1.824693042291951E-2</v>
      </c>
      <c r="M45" s="22">
        <v>6564</v>
      </c>
      <c r="N45" s="7">
        <f t="shared" si="1"/>
        <v>-0.12294332723948811</v>
      </c>
      <c r="O45" s="22">
        <v>7432</v>
      </c>
      <c r="P45" s="7">
        <f t="shared" si="2"/>
        <v>-0.2253767491926803</v>
      </c>
      <c r="Q45" s="7">
        <f t="shared" si="14"/>
        <v>0.11499044641306236</v>
      </c>
      <c r="R45" s="7">
        <f t="shared" si="3"/>
        <v>0.11527967257844475</v>
      </c>
      <c r="S45" s="7">
        <f t="shared" si="4"/>
        <v>-2.8922616538239188E-4</v>
      </c>
      <c r="T45" s="7">
        <f t="shared" si="5"/>
        <v>9.6435100548446076E-2</v>
      </c>
      <c r="U45" s="7">
        <f t="shared" si="6"/>
        <v>1.8555345864616282E-2</v>
      </c>
      <c r="V45" s="7">
        <f t="shared" si="9"/>
        <v>6.2163616792249729E-2</v>
      </c>
      <c r="W45" s="7">
        <f t="shared" si="7"/>
        <v>5.2826829620812629E-2</v>
      </c>
      <c r="X45" s="29"/>
      <c r="Y45" s="29"/>
      <c r="Z45" s="23">
        <v>0.35762320751974747</v>
      </c>
      <c r="AA45" s="20">
        <v>0.35619840939721858</v>
      </c>
    </row>
    <row r="46" spans="1:27" ht="17" thickBot="1" x14ac:dyDescent="0.25">
      <c r="A46" s="33">
        <v>68</v>
      </c>
      <c r="B46" s="8" t="s">
        <v>68</v>
      </c>
      <c r="C46" s="18">
        <v>1386</v>
      </c>
      <c r="D46" s="27">
        <v>1435</v>
      </c>
      <c r="E46" s="7">
        <f t="shared" si="13"/>
        <v>3.5353535353535352E-2</v>
      </c>
      <c r="F46" s="27">
        <v>1246</v>
      </c>
      <c r="G46" s="7">
        <f t="shared" si="15"/>
        <v>0.15168539325842698</v>
      </c>
      <c r="H46" s="18">
        <v>973</v>
      </c>
      <c r="I46" s="7">
        <f t="shared" si="8"/>
        <v>0.47482014388489208</v>
      </c>
      <c r="J46" s="22">
        <v>13708</v>
      </c>
      <c r="K46" s="22">
        <v>13875</v>
      </c>
      <c r="L46" s="7">
        <f t="shared" si="0"/>
        <v>-1.2036036036036035E-2</v>
      </c>
      <c r="M46" s="22">
        <v>14692</v>
      </c>
      <c r="N46" s="7">
        <f t="shared" si="1"/>
        <v>-6.6975224612033757E-2</v>
      </c>
      <c r="O46" s="27">
        <v>16066</v>
      </c>
      <c r="P46" s="7">
        <f t="shared" si="2"/>
        <v>-0.14676957550105812</v>
      </c>
      <c r="Q46" s="7">
        <f t="shared" si="14"/>
        <v>0.10468339655675518</v>
      </c>
      <c r="R46" s="7">
        <f t="shared" si="3"/>
        <v>9.989189189189189E-2</v>
      </c>
      <c r="S46" s="7">
        <f t="shared" si="4"/>
        <v>4.7915046648632914E-3</v>
      </c>
      <c r="T46" s="7">
        <f t="shared" si="5"/>
        <v>8.4808058807514297E-2</v>
      </c>
      <c r="U46" s="7">
        <f t="shared" si="6"/>
        <v>1.9875337749240884E-2</v>
      </c>
      <c r="V46" s="7">
        <f t="shared" si="9"/>
        <v>6.0562678949333995E-2</v>
      </c>
      <c r="W46" s="7">
        <f t="shared" si="7"/>
        <v>4.4120717607421187E-2</v>
      </c>
      <c r="X46" s="29">
        <v>0.18424777950541699</v>
      </c>
      <c r="Y46" s="29">
        <v>0.19156441695364337</v>
      </c>
      <c r="Z46" s="23">
        <v>0.42520687042678207</v>
      </c>
      <c r="AA46" s="20">
        <v>0.41958299891701278</v>
      </c>
    </row>
    <row r="47" spans="1:27" ht="17" thickBot="1" x14ac:dyDescent="0.25">
      <c r="A47" s="33">
        <v>69</v>
      </c>
      <c r="B47" s="8" t="s">
        <v>69</v>
      </c>
      <c r="C47" s="18">
        <v>379</v>
      </c>
      <c r="D47" s="27">
        <v>376</v>
      </c>
      <c r="E47" s="7">
        <f t="shared" si="13"/>
        <v>-7.9155672823219003E-3</v>
      </c>
      <c r="F47" s="27">
        <v>389</v>
      </c>
      <c r="G47" s="7">
        <f t="shared" si="15"/>
        <v>-3.3419023136246784E-2</v>
      </c>
      <c r="H47" s="18" t="s">
        <v>85</v>
      </c>
      <c r="I47" s="7"/>
      <c r="J47" s="22">
        <v>4097</v>
      </c>
      <c r="K47" s="22">
        <v>4233</v>
      </c>
      <c r="L47" s="7">
        <f t="shared" si="0"/>
        <v>-3.2128514056224897E-2</v>
      </c>
      <c r="M47" s="22">
        <v>4635</v>
      </c>
      <c r="N47" s="7">
        <f t="shared" si="1"/>
        <v>-0.11607335490830636</v>
      </c>
      <c r="O47" s="27">
        <v>5401</v>
      </c>
      <c r="P47" s="7">
        <f t="shared" si="2"/>
        <v>-0.24143677096833921</v>
      </c>
      <c r="Q47" s="7">
        <f t="shared" si="14"/>
        <v>9.1774469123749078E-2</v>
      </c>
      <c r="R47" s="7">
        <f t="shared" si="3"/>
        <v>8.953460902433262E-2</v>
      </c>
      <c r="S47" s="7">
        <f t="shared" si="4"/>
        <v>2.2398600994164575E-3</v>
      </c>
      <c r="T47" s="7">
        <f t="shared" si="5"/>
        <v>8.3926645091693633E-2</v>
      </c>
      <c r="U47" s="7">
        <f t="shared" si="6"/>
        <v>7.8478240320554449E-3</v>
      </c>
      <c r="V47" s="7"/>
      <c r="W47" s="7">
        <f t="shared" si="7"/>
        <v>9.1774469123749078E-2</v>
      </c>
      <c r="X47" s="29">
        <v>0.1843966421563418</v>
      </c>
      <c r="Y47" s="29">
        <v>0.23736398535757108</v>
      </c>
      <c r="Z47" s="23">
        <v>0.42790742807877097</v>
      </c>
      <c r="AA47" s="20">
        <v>0.43930133279458622</v>
      </c>
    </row>
    <row r="48" spans="1:27" ht="17" thickBot="1" x14ac:dyDescent="0.25">
      <c r="A48" s="33">
        <v>70</v>
      </c>
      <c r="B48" s="8" t="s">
        <v>70</v>
      </c>
      <c r="C48" s="18">
        <v>417</v>
      </c>
      <c r="D48" s="22">
        <v>400</v>
      </c>
      <c r="E48" s="7">
        <f t="shared" si="13"/>
        <v>-4.0767386091127102E-2</v>
      </c>
      <c r="F48" s="22">
        <v>341</v>
      </c>
      <c r="G48" s="7">
        <f t="shared" si="15"/>
        <v>0.17302052785923755</v>
      </c>
      <c r="H48" s="18">
        <v>270</v>
      </c>
      <c r="I48" s="7">
        <f t="shared" si="8"/>
        <v>0.48148148148148145</v>
      </c>
      <c r="J48" s="22">
        <v>3764</v>
      </c>
      <c r="K48" s="22">
        <v>3722</v>
      </c>
      <c r="L48" s="7">
        <f t="shared" si="0"/>
        <v>1.1284255776464266E-2</v>
      </c>
      <c r="M48" s="22">
        <v>4391</v>
      </c>
      <c r="N48" s="7">
        <f t="shared" si="1"/>
        <v>-0.14279207469824642</v>
      </c>
      <c r="O48" s="22">
        <v>5004</v>
      </c>
      <c r="P48" s="7">
        <f t="shared" si="2"/>
        <v>-0.2478017585931255</v>
      </c>
      <c r="Q48" s="7">
        <f t="shared" si="14"/>
        <v>0.10626992561105207</v>
      </c>
      <c r="R48" s="7">
        <f t="shared" si="3"/>
        <v>0.11203653949489521</v>
      </c>
      <c r="S48" s="7">
        <f t="shared" si="4"/>
        <v>-5.7666138838431413E-3</v>
      </c>
      <c r="T48" s="7">
        <f t="shared" si="5"/>
        <v>7.765884764290594E-2</v>
      </c>
      <c r="U48" s="7">
        <f t="shared" si="6"/>
        <v>2.8611077968146131E-2</v>
      </c>
      <c r="V48" s="7">
        <f t="shared" si="9"/>
        <v>5.3956834532374098E-2</v>
      </c>
      <c r="W48" s="7">
        <f t="shared" si="7"/>
        <v>5.2313091078677973E-2</v>
      </c>
      <c r="X48" s="29">
        <v>0.24549520719218901</v>
      </c>
      <c r="Y48" s="29">
        <v>0.23487764944034292</v>
      </c>
      <c r="Z48" s="23">
        <v>0.40630218270883239</v>
      </c>
      <c r="AA48" s="20">
        <v>0.44050379572118709</v>
      </c>
    </row>
    <row r="49" spans="1:27" ht="17" thickBot="1" x14ac:dyDescent="0.25">
      <c r="A49" s="33">
        <v>71</v>
      </c>
      <c r="B49" s="8" t="s">
        <v>71</v>
      </c>
      <c r="C49" s="18">
        <v>1157</v>
      </c>
      <c r="D49" s="22">
        <v>1154</v>
      </c>
      <c r="E49" s="7">
        <f t="shared" si="13"/>
        <v>-2.5929127052722557E-3</v>
      </c>
      <c r="F49" s="22">
        <v>973</v>
      </c>
      <c r="G49" s="7">
        <f t="shared" si="15"/>
        <v>0.18602261048304214</v>
      </c>
      <c r="H49" s="18">
        <v>601</v>
      </c>
      <c r="I49" s="7">
        <f t="shared" si="8"/>
        <v>0.92013311148086518</v>
      </c>
      <c r="J49" s="22">
        <v>8597</v>
      </c>
      <c r="K49" s="22">
        <v>8668</v>
      </c>
      <c r="L49" s="7">
        <f t="shared" si="0"/>
        <v>-8.1910475311490535E-3</v>
      </c>
      <c r="M49" s="22">
        <v>9305</v>
      </c>
      <c r="N49" s="7">
        <f t="shared" si="1"/>
        <v>-7.6088124664159054E-2</v>
      </c>
      <c r="O49" s="22">
        <v>9970</v>
      </c>
      <c r="P49" s="7">
        <f t="shared" si="2"/>
        <v>-0.13771313941825478</v>
      </c>
      <c r="Q49" s="7">
        <f t="shared" si="14"/>
        <v>0.13423287193206931</v>
      </c>
      <c r="R49" s="7">
        <f t="shared" si="3"/>
        <v>0.1334794646977388</v>
      </c>
      <c r="S49" s="7">
        <f t="shared" si="4"/>
        <v>7.5340723433051093E-4</v>
      </c>
      <c r="T49" s="7">
        <f t="shared" si="5"/>
        <v>0.1045674368619022</v>
      </c>
      <c r="U49" s="7">
        <f t="shared" si="6"/>
        <v>2.9665435070167112E-2</v>
      </c>
      <c r="V49" s="7">
        <f t="shared" si="9"/>
        <v>6.0280842527582749E-2</v>
      </c>
      <c r="W49" s="7">
        <f t="shared" si="7"/>
        <v>7.3952029404486558E-2</v>
      </c>
      <c r="X49" s="29">
        <v>0.24549520719218901</v>
      </c>
      <c r="Y49" s="29">
        <v>0.23487764944034292</v>
      </c>
      <c r="Z49" s="23">
        <v>0.40630218270883239</v>
      </c>
      <c r="AA49" s="20">
        <v>0.44050379572118709</v>
      </c>
    </row>
    <row r="50" spans="1:27" ht="17" thickBot="1" x14ac:dyDescent="0.25">
      <c r="A50" s="33">
        <v>72</v>
      </c>
      <c r="B50" s="8" t="s">
        <v>72</v>
      </c>
      <c r="C50" s="18">
        <v>836</v>
      </c>
      <c r="D50" s="22">
        <v>842</v>
      </c>
      <c r="E50" s="7">
        <f t="shared" si="13"/>
        <v>7.1770334928229667E-3</v>
      </c>
      <c r="F50" s="22">
        <v>761</v>
      </c>
      <c r="G50" s="7">
        <f t="shared" si="15"/>
        <v>0.10643889618922471</v>
      </c>
      <c r="H50" s="18">
        <v>700</v>
      </c>
      <c r="I50" s="7">
        <f t="shared" si="8"/>
        <v>0.20285714285714285</v>
      </c>
      <c r="J50" s="22">
        <v>5188</v>
      </c>
      <c r="K50" s="22">
        <v>5205</v>
      </c>
      <c r="L50" s="7">
        <f t="shared" si="0"/>
        <v>-3.2660902977905862E-3</v>
      </c>
      <c r="M50" s="22">
        <v>5649</v>
      </c>
      <c r="N50" s="7">
        <f t="shared" si="1"/>
        <v>-8.1607364135245178E-2</v>
      </c>
      <c r="O50" s="22">
        <v>6438</v>
      </c>
      <c r="P50" s="7">
        <f t="shared" si="2"/>
        <v>-0.19415967691829761</v>
      </c>
      <c r="Q50" s="7">
        <f t="shared" si="14"/>
        <v>0.1622976098689283</v>
      </c>
      <c r="R50" s="7">
        <f t="shared" si="3"/>
        <v>0.1606147934678194</v>
      </c>
      <c r="S50" s="7">
        <f t="shared" si="4"/>
        <v>1.6828164011088997E-3</v>
      </c>
      <c r="T50" s="7">
        <f t="shared" si="5"/>
        <v>0.13471410869180386</v>
      </c>
      <c r="U50" s="7">
        <f t="shared" si="6"/>
        <v>2.7583501177124436E-2</v>
      </c>
      <c r="V50" s="7">
        <f t="shared" si="9"/>
        <v>0.10872941907424666</v>
      </c>
      <c r="W50" s="7">
        <f t="shared" si="7"/>
        <v>5.3568190794681642E-2</v>
      </c>
      <c r="X50" s="31">
        <v>0.27467467742099971</v>
      </c>
      <c r="Y50" s="31">
        <v>0.277882111397314</v>
      </c>
      <c r="Z50" s="23">
        <v>0.35095797180588412</v>
      </c>
      <c r="AA50" s="20">
        <v>0.38487275110066088</v>
      </c>
    </row>
    <row r="51" spans="1:27" ht="17" thickBot="1" x14ac:dyDescent="0.25">
      <c r="A51" s="33">
        <v>73</v>
      </c>
      <c r="B51" s="8" t="s">
        <v>73</v>
      </c>
      <c r="C51" s="18">
        <v>1132</v>
      </c>
      <c r="D51" s="22">
        <v>1172</v>
      </c>
      <c r="E51" s="7">
        <f t="shared" si="13"/>
        <v>3.5335689045936397E-2</v>
      </c>
      <c r="F51" s="22">
        <v>993</v>
      </c>
      <c r="G51" s="7">
        <f t="shared" si="15"/>
        <v>0.18026183282980865</v>
      </c>
      <c r="H51" s="18">
        <v>802</v>
      </c>
      <c r="I51" s="7">
        <f t="shared" si="8"/>
        <v>0.46134663341645887</v>
      </c>
      <c r="J51" s="22">
        <v>14504</v>
      </c>
      <c r="K51" s="22">
        <v>14459</v>
      </c>
      <c r="L51" s="7">
        <f t="shared" si="0"/>
        <v>3.1122484265855175E-3</v>
      </c>
      <c r="M51" s="22">
        <v>15087</v>
      </c>
      <c r="N51" s="7">
        <f t="shared" si="1"/>
        <v>-3.8642539935043414E-2</v>
      </c>
      <c r="O51" s="22">
        <v>15823</v>
      </c>
      <c r="P51" s="7">
        <f t="shared" si="2"/>
        <v>-8.3359666308538208E-2</v>
      </c>
      <c r="Q51" s="7">
        <f t="shared" si="14"/>
        <v>8.080529509100938E-2</v>
      </c>
      <c r="R51" s="7">
        <f t="shared" si="3"/>
        <v>7.829033819766236E-2</v>
      </c>
      <c r="S51" s="7">
        <f t="shared" si="4"/>
        <v>2.5149568933470201E-3</v>
      </c>
      <c r="T51" s="7">
        <f t="shared" si="5"/>
        <v>6.5818254126068801E-2</v>
      </c>
      <c r="U51" s="7">
        <f t="shared" si="6"/>
        <v>1.4987040964940579E-2</v>
      </c>
      <c r="V51" s="7">
        <f t="shared" si="9"/>
        <v>5.0685710674334826E-2</v>
      </c>
      <c r="W51" s="7">
        <f t="shared" si="7"/>
        <v>3.0119584416674554E-2</v>
      </c>
      <c r="X51" s="24">
        <v>0.12961294925765901</v>
      </c>
      <c r="Y51" s="24">
        <v>0.12112024413319482</v>
      </c>
      <c r="Z51" s="23">
        <v>0.1626570804353972</v>
      </c>
      <c r="AA51" s="20">
        <v>0.14023089091000804</v>
      </c>
    </row>
    <row r="52" spans="1:27" ht="17" thickBot="1" x14ac:dyDescent="0.25">
      <c r="A52" s="34">
        <v>74</v>
      </c>
      <c r="B52" s="9" t="s">
        <v>15</v>
      </c>
      <c r="C52" s="18"/>
      <c r="D52" s="22"/>
      <c r="E52" s="7"/>
      <c r="F52" s="22"/>
      <c r="G52" s="7"/>
      <c r="H52" s="18"/>
      <c r="I52" s="7"/>
      <c r="J52" s="22"/>
      <c r="K52" s="22"/>
      <c r="L52" s="7"/>
      <c r="M52" s="35"/>
      <c r="N52" s="7"/>
      <c r="O52" s="22"/>
      <c r="P52" s="7"/>
      <c r="Q52" s="7"/>
      <c r="R52" s="7"/>
      <c r="S52" s="7"/>
      <c r="T52" s="7"/>
      <c r="U52" s="7"/>
      <c r="V52" s="7"/>
      <c r="W52" s="7"/>
      <c r="X52" s="24"/>
      <c r="Y52" s="24"/>
      <c r="Z52" s="23"/>
      <c r="AA52" s="38"/>
    </row>
    <row r="53" spans="1:27" ht="17" thickBot="1" x14ac:dyDescent="0.25">
      <c r="A53" s="33">
        <v>75</v>
      </c>
      <c r="B53" s="8" t="s">
        <v>74</v>
      </c>
      <c r="C53" s="18">
        <v>473</v>
      </c>
      <c r="D53" s="22">
        <v>468</v>
      </c>
      <c r="E53" s="7">
        <f>(D53-C53)/C53</f>
        <v>-1.0570824524312896E-2</v>
      </c>
      <c r="F53" s="22">
        <v>426</v>
      </c>
      <c r="G53" s="7">
        <f>(D53-F53)/F53</f>
        <v>9.8591549295774641E-2</v>
      </c>
      <c r="H53" s="18" t="s">
        <v>85</v>
      </c>
      <c r="I53" s="7"/>
      <c r="J53" s="22">
        <v>5978</v>
      </c>
      <c r="K53" s="22">
        <v>5990</v>
      </c>
      <c r="L53" s="7">
        <f t="shared" si="0"/>
        <v>-2.0033388981636059E-3</v>
      </c>
      <c r="M53" s="22">
        <v>6548</v>
      </c>
      <c r="N53" s="7">
        <f t="shared" si="1"/>
        <v>-8.70494807574832E-2</v>
      </c>
      <c r="O53" s="22">
        <v>7378</v>
      </c>
      <c r="P53" s="7">
        <f t="shared" si="2"/>
        <v>-0.18975332068311196</v>
      </c>
      <c r="Q53" s="7">
        <f>D53/J53</f>
        <v>7.8287052525928408E-2</v>
      </c>
      <c r="R53" s="7">
        <f t="shared" si="3"/>
        <v>7.8964941569282132E-2</v>
      </c>
      <c r="S53" s="7">
        <f t="shared" si="4"/>
        <v>-6.7788904335372435E-4</v>
      </c>
      <c r="T53" s="7">
        <f t="shared" si="5"/>
        <v>6.5058032987171652E-2</v>
      </c>
      <c r="U53" s="7">
        <f t="shared" si="6"/>
        <v>1.3229019538756756E-2</v>
      </c>
      <c r="V53" s="7"/>
      <c r="W53" s="7">
        <f t="shared" si="7"/>
        <v>7.8287052525928408E-2</v>
      </c>
      <c r="X53" s="24">
        <v>0.29893891190757238</v>
      </c>
      <c r="Y53" s="24">
        <v>0.30270065963612597</v>
      </c>
      <c r="Z53" s="23">
        <v>0.46865188751598491</v>
      </c>
      <c r="AA53" s="20">
        <v>0.47609197328602337</v>
      </c>
    </row>
    <row r="54" spans="1:27" ht="17" thickBot="1" x14ac:dyDescent="0.25">
      <c r="A54" s="34">
        <v>78</v>
      </c>
      <c r="B54" s="9" t="s">
        <v>9</v>
      </c>
      <c r="C54" s="35"/>
      <c r="D54" s="22"/>
      <c r="E54" s="7"/>
      <c r="F54" s="22"/>
      <c r="G54" s="7"/>
      <c r="H54" s="35"/>
      <c r="I54" s="7"/>
      <c r="J54" s="22"/>
      <c r="K54" s="22"/>
      <c r="L54" s="7"/>
      <c r="M54" s="22"/>
      <c r="N54" s="7"/>
      <c r="O54" s="22"/>
      <c r="P54" s="7"/>
      <c r="Q54" s="7"/>
      <c r="R54" s="7"/>
      <c r="S54" s="7"/>
      <c r="T54" s="7"/>
      <c r="U54" s="7"/>
      <c r="V54" s="7"/>
      <c r="W54" s="7"/>
      <c r="X54" s="24"/>
      <c r="Y54" s="24"/>
      <c r="Z54" s="23"/>
      <c r="AA54" s="38"/>
    </row>
    <row r="55" spans="1:27" ht="17" thickBot="1" x14ac:dyDescent="0.25">
      <c r="A55" s="33">
        <v>79</v>
      </c>
      <c r="B55" s="8" t="s">
        <v>75</v>
      </c>
      <c r="C55" s="18">
        <v>928</v>
      </c>
      <c r="D55" s="27">
        <v>966</v>
      </c>
      <c r="E55" s="7">
        <f>(D55-C55)/C55</f>
        <v>4.0948275862068964E-2</v>
      </c>
      <c r="F55" s="27">
        <v>735</v>
      </c>
      <c r="G55" s="7">
        <f>(D55-F55)/F55</f>
        <v>0.31428571428571428</v>
      </c>
      <c r="H55" s="18">
        <v>523</v>
      </c>
      <c r="I55" s="7">
        <f t="shared" si="8"/>
        <v>0.84703632887189295</v>
      </c>
      <c r="J55" s="22">
        <v>7587</v>
      </c>
      <c r="K55" s="22">
        <v>7682</v>
      </c>
      <c r="L55" s="7">
        <f t="shared" si="0"/>
        <v>-1.2366571205415256E-2</v>
      </c>
      <c r="M55" s="22">
        <v>8649</v>
      </c>
      <c r="N55" s="7">
        <f t="shared" si="1"/>
        <v>-0.12278876170655567</v>
      </c>
      <c r="O55" s="27">
        <v>10004</v>
      </c>
      <c r="P55" s="7">
        <f t="shared" si="2"/>
        <v>-0.2416033586565374</v>
      </c>
      <c r="Q55" s="7">
        <f>D55/J55</f>
        <v>0.12732305258995649</v>
      </c>
      <c r="R55" s="7">
        <f t="shared" si="3"/>
        <v>0.12080187451184587</v>
      </c>
      <c r="S55" s="7">
        <f t="shared" si="4"/>
        <v>6.5211780781106177E-3</v>
      </c>
      <c r="T55" s="7">
        <f t="shared" si="5"/>
        <v>8.4980922650017346E-2</v>
      </c>
      <c r="U55" s="7">
        <f t="shared" si="6"/>
        <v>4.2342129939939147E-2</v>
      </c>
      <c r="V55" s="7">
        <f t="shared" si="9"/>
        <v>5.2279088364654142E-2</v>
      </c>
      <c r="W55" s="7">
        <f t="shared" si="7"/>
        <v>7.5043964225302351E-2</v>
      </c>
      <c r="X55" s="24">
        <v>0.18386516555056795</v>
      </c>
      <c r="Y55" s="24">
        <v>0.17672103325242008</v>
      </c>
      <c r="Z55" s="23">
        <v>0.4580218906530254</v>
      </c>
      <c r="AA55" s="20">
        <v>0.46730220986382687</v>
      </c>
    </row>
    <row r="56" spans="1:27" ht="17" thickBot="1" x14ac:dyDescent="0.25">
      <c r="A56" s="34">
        <v>81</v>
      </c>
      <c r="B56" s="9" t="s">
        <v>7</v>
      </c>
      <c r="C56" s="18"/>
      <c r="D56" s="22"/>
      <c r="E56" s="7"/>
      <c r="F56" s="22"/>
      <c r="G56" s="7"/>
      <c r="H56" s="18"/>
      <c r="I56" s="7"/>
      <c r="J56" s="22"/>
      <c r="K56" s="22"/>
      <c r="L56" s="7"/>
      <c r="M56" s="22"/>
      <c r="N56" s="7"/>
      <c r="O56" s="22"/>
      <c r="P56" s="7"/>
      <c r="Q56" s="7"/>
      <c r="R56" s="7"/>
      <c r="S56" s="7"/>
      <c r="T56" s="7"/>
      <c r="U56" s="7"/>
      <c r="V56" s="7"/>
      <c r="W56" s="7"/>
      <c r="X56" s="24"/>
      <c r="Y56" s="24"/>
      <c r="Z56" s="23"/>
      <c r="AA56" s="38"/>
    </row>
    <row r="57" spans="1:27" ht="17" thickBot="1" x14ac:dyDescent="0.25">
      <c r="A57" s="34">
        <v>82</v>
      </c>
      <c r="B57" s="9" t="s">
        <v>76</v>
      </c>
      <c r="C57" s="18">
        <v>423</v>
      </c>
      <c r="D57" s="22">
        <v>421</v>
      </c>
      <c r="E57" s="7">
        <f>(D57-C57)/C57</f>
        <v>-4.7281323877068557E-3</v>
      </c>
      <c r="F57" s="22">
        <v>339</v>
      </c>
      <c r="G57" s="7">
        <f>(D57-F57)/F57</f>
        <v>0.24188790560471976</v>
      </c>
      <c r="H57" s="18">
        <v>340</v>
      </c>
      <c r="I57" s="7">
        <f t="shared" si="8"/>
        <v>0.23823529411764705</v>
      </c>
      <c r="J57" s="22">
        <v>4802</v>
      </c>
      <c r="K57" s="22">
        <v>4963</v>
      </c>
      <c r="L57" s="7">
        <f t="shared" si="0"/>
        <v>-3.244005641748942E-2</v>
      </c>
      <c r="M57" s="22">
        <v>5481</v>
      </c>
      <c r="N57" s="7">
        <f t="shared" si="1"/>
        <v>-0.12388250319284802</v>
      </c>
      <c r="O57" s="22">
        <v>6235</v>
      </c>
      <c r="P57" s="7">
        <f t="shared" si="2"/>
        <v>-0.22983159582999199</v>
      </c>
      <c r="Q57" s="7">
        <f>D57/J57</f>
        <v>8.7671803415243652E-2</v>
      </c>
      <c r="R57" s="7">
        <f t="shared" si="3"/>
        <v>8.5230707233528102E-2</v>
      </c>
      <c r="S57" s="7">
        <f t="shared" si="4"/>
        <v>2.4410961817155491E-3</v>
      </c>
      <c r="T57" s="7">
        <f t="shared" si="5"/>
        <v>6.1850027367268745E-2</v>
      </c>
      <c r="U57" s="7">
        <f t="shared" si="6"/>
        <v>2.5821776047974906E-2</v>
      </c>
      <c r="V57" s="7">
        <f t="shared" si="9"/>
        <v>5.4530874097834803E-2</v>
      </c>
      <c r="W57" s="7">
        <f t="shared" si="7"/>
        <v>3.3140929317408849E-2</v>
      </c>
      <c r="X57" s="24">
        <v>0.28557104637661801</v>
      </c>
      <c r="Y57" s="24">
        <v>0.2872934924033313</v>
      </c>
      <c r="Z57" s="23">
        <v>0.3604096520763187</v>
      </c>
      <c r="AA57" s="20"/>
    </row>
    <row r="58" spans="1:27" ht="17" thickBot="1" x14ac:dyDescent="0.25">
      <c r="A58" s="34">
        <v>83</v>
      </c>
      <c r="B58" s="9" t="s">
        <v>77</v>
      </c>
      <c r="C58" s="18">
        <v>739</v>
      </c>
      <c r="D58" s="22">
        <v>756</v>
      </c>
      <c r="E58" s="7">
        <f>(D58-C58)/C58</f>
        <v>2.3004059539918808E-2</v>
      </c>
      <c r="F58" s="22">
        <v>549</v>
      </c>
      <c r="G58" s="7">
        <f>(D58-F58)/F58</f>
        <v>0.37704918032786883</v>
      </c>
      <c r="H58" s="18" t="s">
        <v>85</v>
      </c>
      <c r="I58" s="7"/>
      <c r="J58" s="22">
        <v>5818</v>
      </c>
      <c r="K58" s="22">
        <v>5957</v>
      </c>
      <c r="L58" s="7">
        <f t="shared" si="0"/>
        <v>-2.3333892899110292E-2</v>
      </c>
      <c r="M58" s="22">
        <v>7053</v>
      </c>
      <c r="N58" s="7">
        <f t="shared" si="1"/>
        <v>-0.17510279313767191</v>
      </c>
      <c r="O58" s="22">
        <v>8057</v>
      </c>
      <c r="P58" s="7">
        <f t="shared" si="2"/>
        <v>-0.27789499813826485</v>
      </c>
      <c r="Q58" s="7">
        <f>D58/J58</f>
        <v>0.12994156067377105</v>
      </c>
      <c r="R58" s="7">
        <f t="shared" si="3"/>
        <v>0.12405573275138493</v>
      </c>
      <c r="S58" s="7">
        <f t="shared" si="4"/>
        <v>5.8858279223861221E-3</v>
      </c>
      <c r="T58" s="7">
        <f t="shared" si="5"/>
        <v>7.7839217354317314E-2</v>
      </c>
      <c r="U58" s="7">
        <f t="shared" si="6"/>
        <v>5.2102343319453737E-2</v>
      </c>
      <c r="V58" s="7"/>
      <c r="W58" s="7">
        <f t="shared" si="7"/>
        <v>0.12994156067377105</v>
      </c>
      <c r="X58" s="24">
        <v>-4.9625594934335909E-3</v>
      </c>
      <c r="Y58" s="24">
        <v>-2.000293127749022E-2</v>
      </c>
      <c r="Z58" s="23">
        <v>0.25017231134878193</v>
      </c>
      <c r="AA58" s="20">
        <v>0.24927180299729321</v>
      </c>
    </row>
    <row r="59" spans="1:27" ht="17" thickBot="1" x14ac:dyDescent="0.25">
      <c r="A59" s="34">
        <v>84</v>
      </c>
      <c r="B59" s="9" t="s">
        <v>11</v>
      </c>
      <c r="C59" s="18"/>
      <c r="D59" s="22"/>
      <c r="E59" s="7"/>
      <c r="F59" s="22"/>
      <c r="G59" s="7"/>
      <c r="H59" s="18"/>
      <c r="I59" s="7"/>
      <c r="J59" s="22"/>
      <c r="K59" s="22"/>
      <c r="L59" s="7"/>
      <c r="M59" s="22"/>
      <c r="N59" s="7"/>
      <c r="O59" s="22"/>
      <c r="P59" s="7"/>
      <c r="Q59" s="7"/>
      <c r="R59" s="7"/>
      <c r="S59" s="7"/>
      <c r="T59" s="7"/>
      <c r="U59" s="7"/>
      <c r="V59" s="7"/>
      <c r="W59" s="7"/>
      <c r="X59" s="24"/>
      <c r="Y59" s="24"/>
      <c r="Z59" s="23"/>
      <c r="AA59" s="38"/>
    </row>
    <row r="60" spans="1:27" ht="17" thickBot="1" x14ac:dyDescent="0.25">
      <c r="A60" s="34">
        <v>85</v>
      </c>
      <c r="B60" s="9" t="s">
        <v>12</v>
      </c>
      <c r="C60" s="18"/>
      <c r="D60" s="22"/>
      <c r="E60" s="7"/>
      <c r="F60" s="22"/>
      <c r="G60" s="7"/>
      <c r="H60" s="18"/>
      <c r="I60" s="7"/>
      <c r="J60" s="22"/>
      <c r="K60" s="22"/>
      <c r="L60" s="7"/>
      <c r="M60" s="22"/>
      <c r="N60" s="7"/>
      <c r="O60" s="22"/>
      <c r="P60" s="7"/>
      <c r="Q60" s="7"/>
      <c r="R60" s="7"/>
      <c r="S60" s="7"/>
      <c r="T60" s="7"/>
      <c r="U60" s="7"/>
      <c r="V60" s="7"/>
      <c r="W60" s="7"/>
      <c r="X60" s="24"/>
      <c r="Y60" s="24"/>
      <c r="Z60" s="23"/>
      <c r="AA60" s="38"/>
    </row>
    <row r="61" spans="1:27" ht="17" thickBot="1" x14ac:dyDescent="0.25">
      <c r="A61" s="34">
        <v>87</v>
      </c>
      <c r="B61" s="9" t="s">
        <v>8</v>
      </c>
      <c r="C61" s="18"/>
      <c r="D61" s="22"/>
      <c r="E61" s="7"/>
      <c r="F61" s="22"/>
      <c r="G61" s="7"/>
      <c r="H61" s="18"/>
      <c r="I61" s="7"/>
      <c r="J61" s="22"/>
      <c r="K61" s="22"/>
      <c r="L61" s="7"/>
      <c r="M61" s="22"/>
      <c r="N61" s="7"/>
      <c r="O61" s="22"/>
      <c r="P61" s="7"/>
      <c r="Q61" s="7"/>
      <c r="R61" s="7"/>
      <c r="S61" s="7"/>
      <c r="T61" s="7"/>
      <c r="U61" s="7"/>
      <c r="V61" s="7"/>
      <c r="W61" s="7"/>
      <c r="X61" s="24"/>
      <c r="Y61" s="24"/>
      <c r="Z61" s="23"/>
      <c r="AA61" s="38"/>
    </row>
    <row r="62" spans="1:27" ht="17" thickBot="1" x14ac:dyDescent="0.25">
      <c r="A62" s="34">
        <v>91</v>
      </c>
      <c r="B62" s="9" t="s">
        <v>78</v>
      </c>
      <c r="C62" s="18">
        <v>212</v>
      </c>
      <c r="D62" s="22">
        <v>237</v>
      </c>
      <c r="E62" s="7">
        <f>(D62-C62)/C62</f>
        <v>0.11792452830188679</v>
      </c>
      <c r="F62" s="22">
        <v>211</v>
      </c>
      <c r="G62" s="7">
        <f>(D62-F62)/F62</f>
        <v>0.12322274881516587</v>
      </c>
      <c r="H62" s="18" t="s">
        <v>85</v>
      </c>
      <c r="I62" s="7"/>
      <c r="J62" s="22">
        <v>4686</v>
      </c>
      <c r="K62" s="22">
        <v>4692</v>
      </c>
      <c r="L62" s="7">
        <f t="shared" si="0"/>
        <v>-1.2787723785166241E-3</v>
      </c>
      <c r="M62" s="22">
        <v>5434</v>
      </c>
      <c r="N62" s="7">
        <f t="shared" si="1"/>
        <v>-0.13765182186234817</v>
      </c>
      <c r="O62" s="22">
        <v>6160</v>
      </c>
      <c r="P62" s="7">
        <f t="shared" si="2"/>
        <v>-0.2392857142857143</v>
      </c>
      <c r="Q62" s="7">
        <f>D62/J62</f>
        <v>5.0576184379001278E-2</v>
      </c>
      <c r="R62" s="7">
        <f t="shared" si="3"/>
        <v>4.5183290707587385E-2</v>
      </c>
      <c r="S62" s="7">
        <f t="shared" si="4"/>
        <v>5.3928936714138925E-3</v>
      </c>
      <c r="T62" s="7">
        <f t="shared" si="5"/>
        <v>3.8829591461170411E-2</v>
      </c>
      <c r="U62" s="7">
        <f t="shared" si="6"/>
        <v>1.1746592917830867E-2</v>
      </c>
      <c r="V62" s="7"/>
      <c r="W62" s="7">
        <f t="shared" si="7"/>
        <v>5.0576184379001278E-2</v>
      </c>
      <c r="X62" s="24">
        <v>0.32144209351968733</v>
      </c>
      <c r="Y62" s="24">
        <v>0.33298105663696476</v>
      </c>
      <c r="Z62" s="23"/>
      <c r="AA62" s="20"/>
    </row>
    <row r="63" spans="1:27" ht="17" thickBot="1" x14ac:dyDescent="0.25">
      <c r="A63" s="34">
        <v>92</v>
      </c>
      <c r="B63" s="9" t="s">
        <v>14</v>
      </c>
      <c r="C63" s="18"/>
      <c r="D63" s="22"/>
      <c r="E63" s="7"/>
      <c r="F63" s="22"/>
      <c r="G63" s="7"/>
      <c r="H63" s="18"/>
      <c r="I63" s="7"/>
      <c r="J63" s="22"/>
      <c r="K63" s="22"/>
      <c r="L63" s="7"/>
      <c r="M63" s="22"/>
      <c r="N63" s="7"/>
      <c r="O63" s="22"/>
      <c r="P63" s="7"/>
      <c r="Q63" s="7"/>
      <c r="R63" s="7"/>
      <c r="S63" s="7"/>
      <c r="T63" s="7"/>
      <c r="U63" s="7"/>
      <c r="V63" s="7"/>
      <c r="W63" s="7"/>
      <c r="X63" s="24"/>
      <c r="Y63" s="24"/>
      <c r="Z63" s="23"/>
      <c r="AA63" s="38"/>
    </row>
    <row r="71" spans="2:2" ht="17" x14ac:dyDescent="0.2">
      <c r="B71" s="10" t="s">
        <v>2</v>
      </c>
    </row>
    <row r="72" spans="2:2" x14ac:dyDescent="0.2">
      <c r="B72" s="11" t="s">
        <v>79</v>
      </c>
    </row>
    <row r="73" spans="2:2" x14ac:dyDescent="0.2">
      <c r="B73" s="12" t="s">
        <v>80</v>
      </c>
    </row>
    <row r="74" spans="2:2" x14ac:dyDescent="0.2">
      <c r="B74" t="s">
        <v>81</v>
      </c>
    </row>
    <row r="85" spans="2:2" ht="16" x14ac:dyDescent="0.2">
      <c r="B85" s="1"/>
    </row>
  </sheetData>
  <autoFilter ref="A3:AA63" xr:uid="{BD5CD8E4-51E8-4D13-9D18-56E150EE50C2}"/>
  <pageMargins left="0.7" right="0.7" top="0.75" bottom="0.75" header="0.3" footer="0.3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85"/>
  <sheetViews>
    <sheetView zoomScale="75" zoomScaleNormal="75" workbookViewId="0">
      <selection activeCell="AC26" sqref="AC26"/>
    </sheetView>
  </sheetViews>
  <sheetFormatPr baseColWidth="10" defaultColWidth="13.6640625" defaultRowHeight="15" x14ac:dyDescent="0.2"/>
  <cols>
    <col min="2" max="2" width="27.5" customWidth="1"/>
    <col min="3" max="3" width="14.6640625" style="17" hidden="1" customWidth="1"/>
    <col min="4" max="4" width="13.6640625" style="17"/>
    <col min="6" max="6" width="0" style="17" hidden="1" customWidth="1"/>
    <col min="8" max="8" width="0" style="17" hidden="1" customWidth="1"/>
    <col min="10" max="10" width="13.6640625" style="17"/>
    <col min="11" max="11" width="14" style="17" hidden="1" customWidth="1"/>
    <col min="13" max="13" width="0" style="17" hidden="1" customWidth="1"/>
    <col min="15" max="15" width="0" style="17" hidden="1" customWidth="1"/>
  </cols>
  <sheetData>
    <row r="1" spans="1:27" ht="16" x14ac:dyDescent="0.2">
      <c r="A1" s="359" t="s">
        <v>93</v>
      </c>
      <c r="B1" s="359"/>
      <c r="C1" s="359"/>
      <c r="D1" s="359"/>
      <c r="E1" s="359"/>
      <c r="F1" s="359"/>
      <c r="G1" s="1"/>
      <c r="H1" s="1"/>
      <c r="I1" s="1"/>
    </row>
    <row r="2" spans="1:27" ht="16" thickBot="1" x14ac:dyDescent="0.25"/>
    <row r="3" spans="1:27" s="17" customFormat="1" ht="75.75" customHeight="1" x14ac:dyDescent="0.2">
      <c r="A3" s="46" t="s">
        <v>16</v>
      </c>
      <c r="B3" s="47" t="s">
        <v>17</v>
      </c>
      <c r="C3" s="47" t="s">
        <v>101</v>
      </c>
      <c r="D3" s="47" t="s">
        <v>18</v>
      </c>
      <c r="E3" s="47" t="s">
        <v>0</v>
      </c>
      <c r="F3" s="47" t="s">
        <v>96</v>
      </c>
      <c r="G3" s="47" t="s">
        <v>19</v>
      </c>
      <c r="H3" s="47" t="s">
        <v>97</v>
      </c>
      <c r="I3" s="47" t="s">
        <v>20</v>
      </c>
      <c r="J3" s="47" t="s">
        <v>21</v>
      </c>
      <c r="K3" s="47" t="s">
        <v>98</v>
      </c>
      <c r="L3" s="47" t="s">
        <v>22</v>
      </c>
      <c r="M3" s="47" t="s">
        <v>99</v>
      </c>
      <c r="N3" s="47" t="s">
        <v>23</v>
      </c>
      <c r="O3" s="47" t="s">
        <v>100</v>
      </c>
      <c r="P3" s="47" t="s">
        <v>24</v>
      </c>
      <c r="Q3" s="47" t="s">
        <v>1</v>
      </c>
      <c r="R3" s="47" t="s">
        <v>90</v>
      </c>
      <c r="S3" s="47" t="s">
        <v>25</v>
      </c>
      <c r="T3" s="47" t="s">
        <v>91</v>
      </c>
      <c r="U3" s="47" t="s">
        <v>26</v>
      </c>
      <c r="V3" s="47" t="s">
        <v>92</v>
      </c>
      <c r="W3" s="47" t="s">
        <v>27</v>
      </c>
      <c r="X3" s="47" t="s">
        <v>28</v>
      </c>
      <c r="Y3" s="47" t="s">
        <v>29</v>
      </c>
      <c r="Z3" s="138" t="s">
        <v>30</v>
      </c>
      <c r="AA3" s="48" t="s">
        <v>31</v>
      </c>
    </row>
    <row r="4" spans="1:27" s="125" customFormat="1" ht="16" x14ac:dyDescent="0.2">
      <c r="A4" s="124"/>
      <c r="B4" s="45" t="s">
        <v>32</v>
      </c>
      <c r="C4" s="76">
        <v>50308</v>
      </c>
      <c r="D4" s="76">
        <v>52227</v>
      </c>
      <c r="E4" s="117">
        <f>(D4-C4)/D4</f>
        <v>3.6743446876136863E-2</v>
      </c>
      <c r="F4" s="76">
        <v>44851</v>
      </c>
      <c r="G4" s="117">
        <f>(D4-F4)/F4</f>
        <v>0.16445564201467081</v>
      </c>
      <c r="H4" s="76">
        <v>38008</v>
      </c>
      <c r="I4" s="117">
        <f>(D4-H4)/H4</f>
        <v>0.37410545148389812</v>
      </c>
      <c r="J4" s="76">
        <v>553378</v>
      </c>
      <c r="K4" s="76">
        <v>552788</v>
      </c>
      <c r="L4" s="117">
        <f>(J4-K4)/K4</f>
        <v>1.0673169460986853E-3</v>
      </c>
      <c r="M4" s="76">
        <v>579112</v>
      </c>
      <c r="N4" s="117">
        <f>(J4-M4)/M4</f>
        <v>-4.4437000096699777E-2</v>
      </c>
      <c r="O4" s="76">
        <v>599492</v>
      </c>
      <c r="P4" s="117">
        <f>(J4-O4)/O4</f>
        <v>-7.6921793785404979E-2</v>
      </c>
      <c r="Q4" s="117">
        <f>(D4/J4)</f>
        <v>9.4378526070787061E-2</v>
      </c>
      <c r="R4" s="117">
        <f>(C4/K4)</f>
        <v>9.1007764278529926E-2</v>
      </c>
      <c r="S4" s="117">
        <f>Q4-R4</f>
        <v>3.3707617922571348E-3</v>
      </c>
      <c r="T4" s="117">
        <f>(F4/M4)</f>
        <v>7.7447885728494661E-2</v>
      </c>
      <c r="U4" s="117">
        <f>Q4-T4</f>
        <v>1.69306403422924E-2</v>
      </c>
      <c r="V4" s="117">
        <f>H4/O4</f>
        <v>6.340034562596332E-2</v>
      </c>
      <c r="W4" s="117">
        <f>Q4-V4</f>
        <v>3.0978180444823741E-2</v>
      </c>
      <c r="X4" s="117">
        <v>0.16430067488945777</v>
      </c>
      <c r="Y4" s="117">
        <v>0.15368463422223466</v>
      </c>
      <c r="Z4" s="117">
        <v>0.37604191474160514</v>
      </c>
      <c r="AA4" s="139">
        <v>0.41610653942327047</v>
      </c>
    </row>
    <row r="5" spans="1:27" s="120" customFormat="1" ht="16" x14ac:dyDescent="0.2">
      <c r="A5" s="73">
        <v>5</v>
      </c>
      <c r="B5" s="45" t="s">
        <v>33</v>
      </c>
      <c r="C5" s="113">
        <v>458</v>
      </c>
      <c r="D5" s="113">
        <v>495</v>
      </c>
      <c r="E5" s="116">
        <f t="shared" ref="E5:E7" si="0">(D5-C5)/D5</f>
        <v>7.4747474747474743E-2</v>
      </c>
      <c r="F5" s="76">
        <v>378</v>
      </c>
      <c r="G5" s="116">
        <f>(D5-F5)/F5</f>
        <v>0.30952380952380953</v>
      </c>
      <c r="H5" s="76">
        <v>246</v>
      </c>
      <c r="I5" s="116">
        <f t="shared" ref="I5:I7" si="1">(D5-H5)/H5</f>
        <v>1.0121951219512195</v>
      </c>
      <c r="J5" s="83">
        <v>5396</v>
      </c>
      <c r="K5" s="83">
        <v>5276</v>
      </c>
      <c r="L5" s="116">
        <f>(J5-K5)/K5</f>
        <v>2.2744503411675512E-2</v>
      </c>
      <c r="M5" s="83">
        <v>5365</v>
      </c>
      <c r="N5" s="116">
        <f>(J5-M5)/M5</f>
        <v>5.778191985088537E-3</v>
      </c>
      <c r="O5" s="93">
        <v>6015</v>
      </c>
      <c r="P5" s="116">
        <f>(J5-O5)/O5</f>
        <v>-0.1029093931837074</v>
      </c>
      <c r="Q5" s="116">
        <f>(D5/J5)</f>
        <v>9.1734618235730175E-2</v>
      </c>
      <c r="R5" s="116">
        <f>(C5/K5)</f>
        <v>8.6808188021228208E-2</v>
      </c>
      <c r="S5" s="116">
        <f>Q5-R5</f>
        <v>4.9264302145019673E-3</v>
      </c>
      <c r="T5" s="116">
        <f>(F5/M5)</f>
        <v>7.0456663560111835E-2</v>
      </c>
      <c r="U5" s="116">
        <f>Q5-T5</f>
        <v>2.1277954675618341E-2</v>
      </c>
      <c r="V5" s="116">
        <f>H5/O5</f>
        <v>4.0897755610972565E-2</v>
      </c>
      <c r="W5" s="116">
        <f>Q5-V5</f>
        <v>5.083686262475761E-2</v>
      </c>
      <c r="X5" s="72">
        <v>-0.5161290322580645</v>
      </c>
      <c r="Y5" s="72">
        <v>-0.51397985860101381</v>
      </c>
      <c r="Z5" s="80">
        <v>0.21875</v>
      </c>
      <c r="AA5" s="140">
        <v>0.46967771919247064</v>
      </c>
    </row>
    <row r="6" spans="1:27" s="120" customFormat="1" ht="16" x14ac:dyDescent="0.2">
      <c r="A6" s="73">
        <v>6</v>
      </c>
      <c r="B6" s="45" t="s">
        <v>34</v>
      </c>
      <c r="C6" s="109">
        <v>126</v>
      </c>
      <c r="D6" s="76">
        <v>123</v>
      </c>
      <c r="E6" s="116">
        <f t="shared" si="0"/>
        <v>-2.4390243902439025E-2</v>
      </c>
      <c r="F6" s="93">
        <v>230</v>
      </c>
      <c r="G6" s="116">
        <f t="shared" ref="G6:G7" si="2">(D6-F6)/F6</f>
        <v>-0.4652173913043478</v>
      </c>
      <c r="H6" s="83">
        <v>222</v>
      </c>
      <c r="I6" s="116">
        <f t="shared" si="1"/>
        <v>-0.44594594594594594</v>
      </c>
      <c r="J6" s="83">
        <v>3150</v>
      </c>
      <c r="K6" s="83">
        <v>3102</v>
      </c>
      <c r="L6" s="116">
        <f>(J6-K6)/K6</f>
        <v>1.5473887814313346E-2</v>
      </c>
      <c r="M6" s="83">
        <v>3274</v>
      </c>
      <c r="N6" s="116">
        <f>(J6-M6)/M6</f>
        <v>-3.7874160048869884E-2</v>
      </c>
      <c r="O6" s="93">
        <v>3680</v>
      </c>
      <c r="P6" s="116">
        <f>(J6-O6)/O6</f>
        <v>-0.14402173913043478</v>
      </c>
      <c r="Q6" s="116">
        <f>(D6/J6)</f>
        <v>3.9047619047619046E-2</v>
      </c>
      <c r="R6" s="116">
        <f>(C6/K6)</f>
        <v>4.0618955512572531E-2</v>
      </c>
      <c r="S6" s="116">
        <f>Q6-R6</f>
        <v>-1.571336464953485E-3</v>
      </c>
      <c r="T6" s="116">
        <f>(F6/M6)</f>
        <v>7.0250458155161885E-2</v>
      </c>
      <c r="U6" s="116">
        <f>Q6-T6</f>
        <v>-3.1202839107542839E-2</v>
      </c>
      <c r="V6" s="116">
        <f>H6/O6</f>
        <v>6.0326086956521738E-2</v>
      </c>
      <c r="W6" s="116">
        <f>Q6-V6</f>
        <v>-2.1278467908902692E-2</v>
      </c>
      <c r="X6" s="117">
        <v>0.33333333333333331</v>
      </c>
      <c r="Y6" s="117">
        <v>0.21308321308321307</v>
      </c>
      <c r="Z6" s="80">
        <v>0.72222222222222221</v>
      </c>
      <c r="AA6" s="140">
        <v>0.33072089947089944</v>
      </c>
    </row>
    <row r="7" spans="1:27" s="120" customFormat="1" ht="16" x14ac:dyDescent="0.2">
      <c r="A7" s="73">
        <v>8</v>
      </c>
      <c r="B7" s="45" t="s">
        <v>35</v>
      </c>
      <c r="C7" s="109">
        <v>270</v>
      </c>
      <c r="D7" s="76">
        <v>282</v>
      </c>
      <c r="E7" s="116">
        <f t="shared" si="0"/>
        <v>4.2553191489361701E-2</v>
      </c>
      <c r="F7" s="76">
        <v>272</v>
      </c>
      <c r="G7" s="116">
        <f t="shared" si="2"/>
        <v>3.6764705882352942E-2</v>
      </c>
      <c r="H7" s="109">
        <v>288</v>
      </c>
      <c r="I7" s="116">
        <f t="shared" si="1"/>
        <v>-2.0833333333333332E-2</v>
      </c>
      <c r="J7" s="83">
        <v>4981</v>
      </c>
      <c r="K7" s="83">
        <v>5157</v>
      </c>
      <c r="L7" s="116">
        <f>(J7-K7)/K7</f>
        <v>-3.4128369206903236E-2</v>
      </c>
      <c r="M7" s="83">
        <v>5471</v>
      </c>
      <c r="N7" s="116">
        <f>(J7-M7)/M7</f>
        <v>-8.9563151160665322E-2</v>
      </c>
      <c r="O7" s="126">
        <v>5721</v>
      </c>
      <c r="P7" s="116">
        <f>(J7-O7)/O7</f>
        <v>-0.12934801608110469</v>
      </c>
      <c r="Q7" s="116">
        <f>(D7/J7)</f>
        <v>5.6615137522585825E-2</v>
      </c>
      <c r="R7" s="116">
        <f>(C7/K7)</f>
        <v>5.2356020942408377E-2</v>
      </c>
      <c r="S7" s="116">
        <f>Q7-R7</f>
        <v>4.259116580177448E-3</v>
      </c>
      <c r="T7" s="116">
        <f>(F7/M7)</f>
        <v>4.9716687991226464E-2</v>
      </c>
      <c r="U7" s="116">
        <f>Q7-T7</f>
        <v>6.8984495313593602E-3</v>
      </c>
      <c r="V7" s="116">
        <f>H7/O7</f>
        <v>5.0340849501835344E-2</v>
      </c>
      <c r="W7" s="116">
        <f>Q7-V7</f>
        <v>6.2742880207504806E-3</v>
      </c>
      <c r="X7" s="72"/>
      <c r="Y7" s="72"/>
      <c r="Z7" s="80">
        <v>0.54385964912280704</v>
      </c>
      <c r="AA7" s="140">
        <v>0.59898620776845757</v>
      </c>
    </row>
    <row r="8" spans="1:27" s="120" customFormat="1" ht="16" x14ac:dyDescent="0.2">
      <c r="A8" s="73">
        <v>10</v>
      </c>
      <c r="B8" s="45" t="s">
        <v>3</v>
      </c>
      <c r="X8" s="84"/>
      <c r="Y8" s="84"/>
      <c r="Z8" s="80"/>
      <c r="AA8" s="141"/>
    </row>
    <row r="9" spans="1:27" s="120" customFormat="1" ht="16" x14ac:dyDescent="0.2">
      <c r="A9" s="73">
        <v>19</v>
      </c>
      <c r="B9" s="45" t="s">
        <v>4</v>
      </c>
      <c r="C9" s="109"/>
      <c r="D9" s="109"/>
      <c r="E9" s="116"/>
      <c r="F9" s="109"/>
      <c r="G9" s="116"/>
      <c r="H9" s="109"/>
      <c r="I9" s="116"/>
      <c r="J9" s="109"/>
      <c r="K9" s="109"/>
      <c r="L9" s="116"/>
      <c r="M9" s="109"/>
      <c r="N9" s="116"/>
      <c r="O9" s="109"/>
      <c r="P9" s="116"/>
      <c r="Q9" s="116"/>
      <c r="R9" s="116"/>
      <c r="S9" s="116"/>
      <c r="T9" s="116"/>
      <c r="U9" s="116"/>
      <c r="V9" s="116"/>
      <c r="W9" s="116"/>
      <c r="X9" s="84"/>
      <c r="Y9" s="84"/>
      <c r="Z9" s="80"/>
      <c r="AA9" s="141"/>
    </row>
    <row r="10" spans="1:27" s="120" customFormat="1" ht="16" x14ac:dyDescent="0.2">
      <c r="A10" s="73">
        <v>20</v>
      </c>
      <c r="B10" s="45" t="s">
        <v>36</v>
      </c>
      <c r="C10" s="109">
        <v>212</v>
      </c>
      <c r="D10" s="109">
        <v>265</v>
      </c>
      <c r="E10" s="116">
        <f>(D10-C10)/D10</f>
        <v>0.2</v>
      </c>
      <c r="F10" s="76">
        <v>178</v>
      </c>
      <c r="G10" s="116">
        <f>(D10-F10)/F10</f>
        <v>0.4887640449438202</v>
      </c>
      <c r="H10" s="76">
        <v>140</v>
      </c>
      <c r="I10" s="116">
        <f>(D10-H10)/H10</f>
        <v>0.8928571428571429</v>
      </c>
      <c r="J10" s="76">
        <v>3657</v>
      </c>
      <c r="K10" s="76">
        <v>3661</v>
      </c>
      <c r="L10" s="116">
        <f>(J10-K10)/K10</f>
        <v>-1.0925976509150504E-3</v>
      </c>
      <c r="M10" s="76">
        <v>4045</v>
      </c>
      <c r="N10" s="116">
        <f>(J10-M10)/M10</f>
        <v>-9.5920889987639063E-2</v>
      </c>
      <c r="O10" s="78">
        <v>4710</v>
      </c>
      <c r="P10" s="116">
        <f>(J10-O10)/O10</f>
        <v>-0.22356687898089173</v>
      </c>
      <c r="Q10" s="116">
        <f>(D10/J10)</f>
        <v>7.2463768115942032E-2</v>
      </c>
      <c r="R10" s="116">
        <f>(C10/K10)</f>
        <v>5.7907675498497679E-2</v>
      </c>
      <c r="S10" s="116">
        <f>Q10-R10</f>
        <v>1.4556092617444352E-2</v>
      </c>
      <c r="T10" s="116">
        <f>(F10/M10)</f>
        <v>4.4004944375772556E-2</v>
      </c>
      <c r="U10" s="116">
        <f>Q10-T10</f>
        <v>2.8458823740169475E-2</v>
      </c>
      <c r="V10" s="116">
        <f>H10/O10</f>
        <v>2.9723991507430998E-2</v>
      </c>
      <c r="W10" s="116">
        <f>Q10-V10</f>
        <v>4.2739776608511033E-2</v>
      </c>
      <c r="Y10" s="72"/>
      <c r="Z10" s="80">
        <v>0.46666666666666667</v>
      </c>
      <c r="AA10" s="140">
        <v>0.41160653772488276</v>
      </c>
    </row>
    <row r="11" spans="1:27" s="120" customFormat="1" ht="16" x14ac:dyDescent="0.2">
      <c r="A11" s="73">
        <v>22</v>
      </c>
      <c r="B11" s="45" t="s">
        <v>37</v>
      </c>
      <c r="C11" s="109">
        <v>1069</v>
      </c>
      <c r="D11" s="127">
        <v>1112</v>
      </c>
      <c r="E11" s="116">
        <f>(D11-C11)/D11</f>
        <v>3.8669064748201441E-2</v>
      </c>
      <c r="F11" s="76">
        <v>969</v>
      </c>
      <c r="G11" s="116">
        <f t="shared" ref="G11:G62" si="3">(D11-F11)/F11</f>
        <v>0.14757481940144479</v>
      </c>
      <c r="H11" s="76">
        <v>855</v>
      </c>
      <c r="I11" s="116">
        <f t="shared" ref="I11:I62" si="4">(D11-H11)/H11</f>
        <v>0.30058479532163745</v>
      </c>
      <c r="J11" s="83">
        <v>8359</v>
      </c>
      <c r="K11" s="83">
        <v>8246</v>
      </c>
      <c r="L11" s="116">
        <f t="shared" ref="L11:L62" si="5">(J11-K11)/K11</f>
        <v>1.370361387339316E-2</v>
      </c>
      <c r="M11" s="83">
        <v>8762</v>
      </c>
      <c r="N11" s="116">
        <f t="shared" ref="N11:N62" si="6">(J11-M11)/M11</f>
        <v>-4.5994065281899109E-2</v>
      </c>
      <c r="O11" s="78">
        <v>9462</v>
      </c>
      <c r="P11" s="116">
        <f t="shared" ref="P11:P12" si="7">(J11-O11)/O11</f>
        <v>-0.116571549355316</v>
      </c>
      <c r="Q11" s="116">
        <f t="shared" ref="Q11:Q12" si="8">(D11/J11)</f>
        <v>0.13303026677832278</v>
      </c>
      <c r="R11" s="116">
        <f t="shared" ref="R11:R12" si="9">(C11/K11)</f>
        <v>0.12963861266068397</v>
      </c>
      <c r="S11" s="116">
        <f t="shared" ref="S11:S12" si="10">Q11-R11</f>
        <v>3.3916541176388093E-3</v>
      </c>
      <c r="T11" s="116">
        <f t="shared" ref="T11:T12" si="11">(F11/M11)</f>
        <v>0.11059118922620406</v>
      </c>
      <c r="U11" s="116">
        <f t="shared" ref="U11:U12" si="12">Q11-T11</f>
        <v>2.2439077552118714E-2</v>
      </c>
      <c r="V11" s="116">
        <f t="shared" ref="V11:V12" si="13">H11/O11</f>
        <v>9.036144578313253E-2</v>
      </c>
      <c r="W11" s="116">
        <f t="shared" ref="W11:W12" si="14">Q11-V11</f>
        <v>4.2668820995190246E-2</v>
      </c>
      <c r="X11" s="72">
        <v>0.125</v>
      </c>
      <c r="Y11" s="72">
        <v>0.1323735088440971</v>
      </c>
      <c r="Z11" s="80">
        <v>0.37362637362637363</v>
      </c>
      <c r="AA11" s="140">
        <v>0.45014639949422558</v>
      </c>
    </row>
    <row r="12" spans="1:27" s="120" customFormat="1" ht="16" x14ac:dyDescent="0.2">
      <c r="A12" s="73">
        <v>23</v>
      </c>
      <c r="B12" s="45" t="s">
        <v>38</v>
      </c>
      <c r="C12" s="109">
        <v>2281</v>
      </c>
      <c r="D12" s="109">
        <v>2351</v>
      </c>
      <c r="E12" s="116">
        <f>(D12-C12)/D12</f>
        <v>2.9774564015312633E-2</v>
      </c>
      <c r="F12" s="109">
        <v>1969</v>
      </c>
      <c r="G12" s="116">
        <f t="shared" si="3"/>
        <v>0.19400711020822753</v>
      </c>
      <c r="H12" s="109">
        <v>1614</v>
      </c>
      <c r="I12" s="116">
        <f t="shared" si="4"/>
        <v>0.45662949194547708</v>
      </c>
      <c r="J12" s="83">
        <v>21582</v>
      </c>
      <c r="K12" s="83">
        <v>21327</v>
      </c>
      <c r="L12" s="116">
        <f t="shared" si="5"/>
        <v>1.1956674637783092E-2</v>
      </c>
      <c r="M12" s="83">
        <v>21778</v>
      </c>
      <c r="N12" s="116">
        <f t="shared" si="6"/>
        <v>-8.9999081642024061E-3</v>
      </c>
      <c r="O12" s="78">
        <v>22099</v>
      </c>
      <c r="P12" s="116">
        <f t="shared" si="7"/>
        <v>-2.33947237431558E-2</v>
      </c>
      <c r="Q12" s="116">
        <f t="shared" si="8"/>
        <v>0.1089333704012603</v>
      </c>
      <c r="R12" s="116">
        <f t="shared" si="9"/>
        <v>0.10695362685797347</v>
      </c>
      <c r="S12" s="116">
        <f t="shared" si="10"/>
        <v>1.9797435432868382E-3</v>
      </c>
      <c r="T12" s="116">
        <f t="shared" si="11"/>
        <v>9.0412342731196624E-2</v>
      </c>
      <c r="U12" s="116">
        <f t="shared" si="12"/>
        <v>1.8521027670063681E-2</v>
      </c>
      <c r="V12" s="116">
        <f t="shared" si="13"/>
        <v>7.3034978958323907E-2</v>
      </c>
      <c r="W12" s="116">
        <f t="shared" si="14"/>
        <v>3.5898391442936398E-2</v>
      </c>
      <c r="X12" s="72">
        <v>0.14529914529914531</v>
      </c>
      <c r="Y12" s="72">
        <v>0.16350742447516642</v>
      </c>
      <c r="Z12" s="80">
        <v>0.3125</v>
      </c>
      <c r="AA12" s="140">
        <v>0.24071798717107928</v>
      </c>
    </row>
    <row r="13" spans="1:27" s="120" customFormat="1" ht="17" x14ac:dyDescent="0.2">
      <c r="A13" s="73">
        <v>27</v>
      </c>
      <c r="B13" s="45" t="s">
        <v>39</v>
      </c>
      <c r="C13" s="109">
        <v>305</v>
      </c>
      <c r="D13" s="76">
        <v>352</v>
      </c>
      <c r="E13" s="116">
        <f t="shared" ref="E13:E62" si="15">(D13-C13)/D13</f>
        <v>0.13352272727272727</v>
      </c>
      <c r="F13" s="76" t="s">
        <v>85</v>
      </c>
      <c r="G13" s="117" t="s">
        <v>85</v>
      </c>
      <c r="H13" s="76">
        <v>325</v>
      </c>
      <c r="I13" s="116">
        <f t="shared" si="4"/>
        <v>8.3076923076923076E-2</v>
      </c>
      <c r="J13" s="83">
        <v>4590</v>
      </c>
      <c r="K13" s="83">
        <v>4641</v>
      </c>
      <c r="L13" s="116">
        <f t="shared" si="5"/>
        <v>-1.098901098901099E-2</v>
      </c>
      <c r="M13" s="83">
        <v>5520</v>
      </c>
      <c r="N13" s="116">
        <f t="shared" si="6"/>
        <v>-0.16847826086956522</v>
      </c>
      <c r="O13" s="78">
        <v>6960</v>
      </c>
      <c r="P13" s="116">
        <f t="shared" ref="P13" si="16">(J13-O13)/O13</f>
        <v>-0.34051724137931033</v>
      </c>
      <c r="Q13" s="116">
        <f t="shared" ref="Q13" si="17">(D13/J13)</f>
        <v>7.6688453159041395E-2</v>
      </c>
      <c r="R13" s="116">
        <f t="shared" ref="R13" si="18">(C13/K13)</f>
        <v>6.5718595130359839E-2</v>
      </c>
      <c r="S13" s="116">
        <f t="shared" ref="S13" si="19">Q13-R13</f>
        <v>1.0969858028681556E-2</v>
      </c>
      <c r="T13" s="116"/>
      <c r="U13" s="116"/>
      <c r="V13" s="116">
        <f t="shared" ref="V13:V14" si="20">H13/O13</f>
        <v>4.6695402298850573E-2</v>
      </c>
      <c r="W13" s="116">
        <f t="shared" ref="W13:W14" si="21">Q13-V13</f>
        <v>2.9993050860190822E-2</v>
      </c>
      <c r="X13" s="72">
        <v>0.30555555555555558</v>
      </c>
      <c r="Y13" s="72">
        <v>0.33649751332678163</v>
      </c>
      <c r="Z13" s="92" t="s">
        <v>85</v>
      </c>
      <c r="AA13" s="142" t="s">
        <v>85</v>
      </c>
    </row>
    <row r="14" spans="1:27" s="120" customFormat="1" ht="17" x14ac:dyDescent="0.2">
      <c r="A14" s="73">
        <v>28</v>
      </c>
      <c r="B14" s="45" t="s">
        <v>40</v>
      </c>
      <c r="C14" s="109">
        <v>190</v>
      </c>
      <c r="D14" s="109">
        <v>197</v>
      </c>
      <c r="E14" s="116">
        <f t="shared" si="15"/>
        <v>3.553299492385787E-2</v>
      </c>
      <c r="F14" s="76" t="s">
        <v>85</v>
      </c>
      <c r="G14" s="117" t="s">
        <v>85</v>
      </c>
      <c r="H14" s="83">
        <v>244</v>
      </c>
      <c r="I14" s="116">
        <f t="shared" si="4"/>
        <v>-0.19262295081967212</v>
      </c>
      <c r="J14" s="83">
        <v>3087</v>
      </c>
      <c r="K14" s="83">
        <v>3046</v>
      </c>
      <c r="L14" s="116">
        <f t="shared" si="5"/>
        <v>1.3460275771503612E-2</v>
      </c>
      <c r="M14" s="83">
        <v>3599</v>
      </c>
      <c r="N14" s="116">
        <f t="shared" si="6"/>
        <v>-0.14226173937204778</v>
      </c>
      <c r="O14" s="126">
        <v>4227</v>
      </c>
      <c r="P14" s="116">
        <f t="shared" ref="P14" si="22">(J14-O14)/O14</f>
        <v>-0.26969481902058196</v>
      </c>
      <c r="Q14" s="116">
        <f t="shared" ref="Q14" si="23">(D14/J14)</f>
        <v>6.3816002591512794E-2</v>
      </c>
      <c r="R14" s="116">
        <f t="shared" ref="R14" si="24">(C14/K14)</f>
        <v>6.2376887721602103E-2</v>
      </c>
      <c r="S14" s="116">
        <f t="shared" ref="S14" si="25">Q14-R14</f>
        <v>1.4391148699106904E-3</v>
      </c>
      <c r="T14" s="116"/>
      <c r="U14" s="116"/>
      <c r="V14" s="116">
        <f t="shared" si="20"/>
        <v>5.7724154246510527E-2</v>
      </c>
      <c r="W14" s="116">
        <f t="shared" si="21"/>
        <v>6.0918483450022667E-3</v>
      </c>
      <c r="X14" s="72">
        <v>0.22222222222222221</v>
      </c>
      <c r="Y14" s="72">
        <v>0.36119023047815624</v>
      </c>
      <c r="Z14" s="80">
        <v>0.52173913043478259</v>
      </c>
      <c r="AA14" s="140">
        <v>0.33892074109465409</v>
      </c>
    </row>
    <row r="15" spans="1:27" s="120" customFormat="1" ht="16" x14ac:dyDescent="0.2">
      <c r="A15" s="81">
        <v>33</v>
      </c>
      <c r="B15" s="45" t="s">
        <v>41</v>
      </c>
      <c r="C15" s="109">
        <v>497</v>
      </c>
      <c r="D15" s="76">
        <v>552</v>
      </c>
      <c r="E15" s="116">
        <f t="shared" si="15"/>
        <v>9.9637681159420288E-2</v>
      </c>
      <c r="F15" s="76">
        <v>482</v>
      </c>
      <c r="G15" s="116">
        <f t="shared" si="3"/>
        <v>0.14522821576763487</v>
      </c>
      <c r="H15" s="109">
        <v>440</v>
      </c>
      <c r="I15" s="116">
        <f t="shared" si="4"/>
        <v>0.25454545454545452</v>
      </c>
      <c r="J15" s="109">
        <v>13111</v>
      </c>
      <c r="K15" s="83">
        <v>12975</v>
      </c>
      <c r="L15" s="116">
        <f t="shared" si="5"/>
        <v>1.048169556840077E-2</v>
      </c>
      <c r="M15" s="83">
        <v>14002</v>
      </c>
      <c r="N15" s="116">
        <f t="shared" si="6"/>
        <v>-6.3633766604770742E-2</v>
      </c>
      <c r="O15" s="76">
        <v>13170</v>
      </c>
      <c r="P15" s="116">
        <f t="shared" ref="P15:P16" si="26">(J15-O15)/O15</f>
        <v>-4.4798785117691727E-3</v>
      </c>
      <c r="Q15" s="116">
        <f t="shared" ref="Q15" si="27">(D15/J15)</f>
        <v>4.2102051712302649E-2</v>
      </c>
      <c r="R15" s="116">
        <f t="shared" ref="R15" si="28">(C15/K15)</f>
        <v>3.8304431599229284E-2</v>
      </c>
      <c r="S15" s="116">
        <f t="shared" ref="S15" si="29">Q15-R15</f>
        <v>3.7976201130733647E-3</v>
      </c>
      <c r="T15" s="116">
        <f>(F15/M15)</f>
        <v>3.4423653763748036E-2</v>
      </c>
      <c r="U15" s="116">
        <f t="shared" ref="U15" si="30">Q15-T15</f>
        <v>7.6783979485546133E-3</v>
      </c>
      <c r="V15" s="116">
        <f t="shared" ref="V15" si="31">H15/O15</f>
        <v>3.3409263477600606E-2</v>
      </c>
      <c r="W15" s="116">
        <f t="shared" ref="W15" si="32">Q15-V15</f>
        <v>8.6927882347020424E-3</v>
      </c>
      <c r="X15" s="72"/>
      <c r="Y15" s="72"/>
      <c r="Z15" s="80">
        <v>0.44155844155844154</v>
      </c>
      <c r="AA15" s="140">
        <v>0.40073847243426758</v>
      </c>
    </row>
    <row r="16" spans="1:27" s="120" customFormat="1" ht="16" x14ac:dyDescent="0.2">
      <c r="A16" s="73">
        <v>34</v>
      </c>
      <c r="B16" s="45" t="s">
        <v>42</v>
      </c>
      <c r="C16" s="109">
        <v>1245</v>
      </c>
      <c r="D16" s="109">
        <v>1319</v>
      </c>
      <c r="E16" s="116">
        <f t="shared" si="15"/>
        <v>5.6103108415466264E-2</v>
      </c>
      <c r="F16" s="109">
        <v>1195</v>
      </c>
      <c r="G16" s="116">
        <f t="shared" si="3"/>
        <v>0.10376569037656903</v>
      </c>
      <c r="H16" s="109">
        <v>1180</v>
      </c>
      <c r="I16" s="116">
        <f t="shared" si="4"/>
        <v>0.11779661016949153</v>
      </c>
      <c r="J16" s="83">
        <v>19092</v>
      </c>
      <c r="K16" s="83">
        <v>19292</v>
      </c>
      <c r="L16" s="116">
        <f t="shared" si="5"/>
        <v>-1.0366991499066971E-2</v>
      </c>
      <c r="M16" s="83">
        <v>19879</v>
      </c>
      <c r="N16" s="116">
        <f t="shared" si="6"/>
        <v>-3.9589516575280446E-2</v>
      </c>
      <c r="O16" s="126">
        <v>19866</v>
      </c>
      <c r="P16" s="116">
        <f t="shared" si="26"/>
        <v>-3.896103896103896E-2</v>
      </c>
      <c r="Q16" s="116">
        <f t="shared" ref="Q16" si="33">(D16/J16)</f>
        <v>6.9086528388853971E-2</v>
      </c>
      <c r="R16" s="116">
        <f t="shared" ref="R16" si="34">(C16/K16)</f>
        <v>6.4534522081691886E-2</v>
      </c>
      <c r="S16" s="116">
        <f t="shared" ref="S16" si="35">Q16-R16</f>
        <v>4.5520063071620848E-3</v>
      </c>
      <c r="T16" s="116">
        <f>(F16/M16)</f>
        <v>6.0113687811258108E-2</v>
      </c>
      <c r="U16" s="116">
        <f t="shared" ref="U16" si="36">Q16-T16</f>
        <v>8.9728405775958628E-3</v>
      </c>
      <c r="V16" s="116">
        <f t="shared" ref="V16" si="37">H16/O16</f>
        <v>5.9397966374710558E-2</v>
      </c>
      <c r="W16" s="116">
        <f t="shared" ref="W16" si="38">Q16-V16</f>
        <v>9.6885620141434134E-3</v>
      </c>
      <c r="X16" s="84">
        <v>0.24509803921568626</v>
      </c>
      <c r="Y16" s="84">
        <v>0.2667072774240839</v>
      </c>
      <c r="Z16" s="80">
        <v>0.30909090909090908</v>
      </c>
      <c r="AA16" s="140">
        <v>0.35139397622795238</v>
      </c>
    </row>
    <row r="17" spans="1:27" s="120" customFormat="1" ht="16" x14ac:dyDescent="0.2">
      <c r="A17" s="82">
        <v>35</v>
      </c>
      <c r="B17" s="45" t="s">
        <v>43</v>
      </c>
      <c r="C17" s="109">
        <v>1443</v>
      </c>
      <c r="D17" s="109">
        <v>1448</v>
      </c>
      <c r="E17" s="116">
        <f t="shared" si="15"/>
        <v>3.453038674033149E-3</v>
      </c>
      <c r="F17" s="109">
        <v>1374</v>
      </c>
      <c r="G17" s="116">
        <f t="shared" si="3"/>
        <v>5.3857350800582245E-2</v>
      </c>
      <c r="H17" s="109">
        <v>1371</v>
      </c>
      <c r="I17" s="116">
        <f t="shared" si="4"/>
        <v>5.6163384390955508E-2</v>
      </c>
      <c r="J17" s="83">
        <v>20512</v>
      </c>
      <c r="K17" s="109">
        <v>20204</v>
      </c>
      <c r="L17" s="116">
        <f t="shared" si="5"/>
        <v>1.5244506038408236E-2</v>
      </c>
      <c r="M17" s="109">
        <v>19812</v>
      </c>
      <c r="N17" s="116">
        <f t="shared" si="6"/>
        <v>3.5332121946295175E-2</v>
      </c>
      <c r="O17" s="126">
        <v>20081</v>
      </c>
      <c r="P17" s="116">
        <f t="shared" ref="P17" si="39">(J17-O17)/O17</f>
        <v>2.1463074548080274E-2</v>
      </c>
      <c r="Q17" s="116">
        <f t="shared" ref="Q17" si="40">(D17/J17)</f>
        <v>7.0592823712948519E-2</v>
      </c>
      <c r="R17" s="116">
        <f t="shared" ref="R17" si="41">(C17/K17)</f>
        <v>7.1421500692932099E-2</v>
      </c>
      <c r="S17" s="116">
        <f t="shared" ref="S17" si="42">Q17-R17</f>
        <v>-8.2867697998358081E-4</v>
      </c>
      <c r="T17" s="116">
        <f>(F17/M17)</f>
        <v>6.9351907934585094E-2</v>
      </c>
      <c r="U17" s="116">
        <f t="shared" ref="U17" si="43">Q17-T17</f>
        <v>1.2409157783634245E-3</v>
      </c>
      <c r="V17" s="116">
        <f t="shared" ref="V17" si="44">H17/O17</f>
        <v>6.8273492355958365E-2</v>
      </c>
      <c r="W17" s="116">
        <f t="shared" ref="W17" si="45">Q17-V17</f>
        <v>2.3193313569901536E-3</v>
      </c>
      <c r="X17" s="84">
        <v>-1.1494252873563218E-2</v>
      </c>
      <c r="Y17" s="84">
        <v>9.3369399371243694E-2</v>
      </c>
      <c r="Z17" s="80">
        <v>0.59627329192546585</v>
      </c>
      <c r="AA17" s="140">
        <v>0.53792289479305744</v>
      </c>
    </row>
    <row r="18" spans="1:27" s="120" customFormat="1" ht="16" x14ac:dyDescent="0.2">
      <c r="A18" s="73">
        <v>36</v>
      </c>
      <c r="B18" s="45" t="s">
        <v>44</v>
      </c>
      <c r="C18" s="109">
        <v>3357</v>
      </c>
      <c r="D18" s="109">
        <v>3398</v>
      </c>
      <c r="E18" s="116">
        <f t="shared" si="15"/>
        <v>1.2065921130076516E-2</v>
      </c>
      <c r="F18" s="109">
        <v>3013</v>
      </c>
      <c r="G18" s="116">
        <f t="shared" si="3"/>
        <v>0.12777962163956189</v>
      </c>
      <c r="H18" s="109">
        <v>2675</v>
      </c>
      <c r="I18" s="116">
        <f t="shared" si="4"/>
        <v>0.27028037383177572</v>
      </c>
      <c r="J18" s="109">
        <v>70942</v>
      </c>
      <c r="K18" s="83">
        <v>70765</v>
      </c>
      <c r="L18" s="116">
        <f t="shared" si="5"/>
        <v>2.5012364869638946E-3</v>
      </c>
      <c r="M18" s="83">
        <v>72277</v>
      </c>
      <c r="N18" s="116">
        <f t="shared" si="6"/>
        <v>-1.8470606140265921E-2</v>
      </c>
      <c r="O18" s="93">
        <v>66097</v>
      </c>
      <c r="P18" s="116">
        <f t="shared" ref="P18" si="46">(J18-O18)/O18</f>
        <v>7.3301360122244585E-2</v>
      </c>
      <c r="Q18" s="116">
        <f t="shared" ref="Q18" si="47">(D18/J18)</f>
        <v>4.7898283104507909E-2</v>
      </c>
      <c r="R18" s="116">
        <f t="shared" ref="R18" si="48">(C18/K18)</f>
        <v>4.7438705574789797E-2</v>
      </c>
      <c r="S18" s="116">
        <f t="shared" ref="S18" si="49">Q18-R18</f>
        <v>4.5957752971811233E-4</v>
      </c>
      <c r="T18" s="116">
        <f>(F18/M18)</f>
        <v>4.168684367087732E-2</v>
      </c>
      <c r="U18" s="116">
        <f t="shared" ref="U18" si="50">Q18-T18</f>
        <v>6.2114394336305889E-3</v>
      </c>
      <c r="V18" s="116">
        <f t="shared" ref="V18" si="51">H18/O18</f>
        <v>4.0470823184108204E-2</v>
      </c>
      <c r="W18" s="116">
        <f t="shared" ref="W18" si="52">Q18-V18</f>
        <v>7.4274599203997052E-3</v>
      </c>
      <c r="X18" s="84">
        <v>0.16417910447761194</v>
      </c>
      <c r="Y18" s="84">
        <v>0.14115132999702898</v>
      </c>
      <c r="Z18" s="80">
        <v>0.23127035830618892</v>
      </c>
      <c r="AA18" s="139">
        <v>0.35220182532808336</v>
      </c>
    </row>
    <row r="19" spans="1:27" s="120" customFormat="1" ht="16" x14ac:dyDescent="0.2">
      <c r="A19" s="73">
        <v>37</v>
      </c>
      <c r="B19" s="45" t="s">
        <v>45</v>
      </c>
      <c r="C19" s="109">
        <v>2047</v>
      </c>
      <c r="D19" s="109">
        <v>2047</v>
      </c>
      <c r="E19" s="116">
        <f t="shared" si="15"/>
        <v>0</v>
      </c>
      <c r="F19" s="109">
        <v>1898</v>
      </c>
      <c r="G19" s="116">
        <f t="shared" si="3"/>
        <v>7.8503688092729187E-2</v>
      </c>
      <c r="H19" s="109">
        <v>1635</v>
      </c>
      <c r="I19" s="116">
        <f t="shared" si="4"/>
        <v>0.25198776758409785</v>
      </c>
      <c r="J19" s="83">
        <v>16320</v>
      </c>
      <c r="K19" s="83">
        <v>15978</v>
      </c>
      <c r="L19" s="116">
        <f t="shared" si="5"/>
        <v>2.1404431092752536E-2</v>
      </c>
      <c r="M19" s="83">
        <v>16456</v>
      </c>
      <c r="N19" s="116">
        <f t="shared" si="6"/>
        <v>-8.2644628099173556E-3</v>
      </c>
      <c r="O19" s="126">
        <v>17320</v>
      </c>
      <c r="P19" s="116">
        <f t="shared" ref="P19:P21" si="53">(J19-O19)/O19</f>
        <v>-5.7736720554272515E-2</v>
      </c>
      <c r="Q19" s="116">
        <f t="shared" ref="Q19:Q21" si="54">(D19/J19)</f>
        <v>0.12542892156862745</v>
      </c>
      <c r="R19" s="116">
        <f t="shared" ref="R19:R21" si="55">(C19/K19)</f>
        <v>0.12811365627738139</v>
      </c>
      <c r="S19" s="116">
        <f t="shared" ref="S19:S21" si="56">Q19-R19</f>
        <v>-2.6847347087539386E-3</v>
      </c>
      <c r="T19" s="116">
        <f t="shared" ref="T19:T21" si="57">(F19/M19)</f>
        <v>0.11533787068546426</v>
      </c>
      <c r="U19" s="116">
        <f t="shared" ref="U19:U21" si="58">Q19-T19</f>
        <v>1.0091050883163186E-2</v>
      </c>
      <c r="V19" s="116">
        <f t="shared" ref="V19:V21" si="59">H19/O19</f>
        <v>9.4399538106235567E-2</v>
      </c>
      <c r="W19" s="116">
        <f t="shared" ref="W19:W21" si="60">Q19-V19</f>
        <v>3.1029383462391882E-2</v>
      </c>
      <c r="X19" s="72">
        <v>0.16535433070866143</v>
      </c>
      <c r="Y19" s="72">
        <v>0.13287127673961677</v>
      </c>
      <c r="Z19" s="80">
        <v>0.40594059405940597</v>
      </c>
      <c r="AA19" s="140">
        <v>0.36918686359893987</v>
      </c>
    </row>
    <row r="20" spans="1:27" s="120" customFormat="1" ht="16" x14ac:dyDescent="0.2">
      <c r="A20" s="73">
        <v>38</v>
      </c>
      <c r="B20" s="45" t="s">
        <v>46</v>
      </c>
      <c r="C20" s="109">
        <v>2255</v>
      </c>
      <c r="D20" s="109">
        <v>2790</v>
      </c>
      <c r="E20" s="116">
        <f t="shared" si="15"/>
        <v>0.1917562724014337</v>
      </c>
      <c r="F20" s="109">
        <v>2233</v>
      </c>
      <c r="G20" s="116">
        <f t="shared" si="3"/>
        <v>0.24944021495745633</v>
      </c>
      <c r="H20" s="109">
        <v>2170</v>
      </c>
      <c r="I20" s="116">
        <f t="shared" si="4"/>
        <v>0.2857142857142857</v>
      </c>
      <c r="J20" s="109">
        <v>21293</v>
      </c>
      <c r="K20" s="120">
        <v>21305</v>
      </c>
      <c r="L20" s="116">
        <f t="shared" si="5"/>
        <v>-5.6324806383478059E-4</v>
      </c>
      <c r="M20" s="109">
        <v>23201</v>
      </c>
      <c r="N20" s="116">
        <f t="shared" si="6"/>
        <v>-8.2237834576095861E-2</v>
      </c>
      <c r="O20" s="109">
        <v>23509</v>
      </c>
      <c r="P20" s="116">
        <f t="shared" si="53"/>
        <v>-9.4261772087285714E-2</v>
      </c>
      <c r="Q20" s="116">
        <f t="shared" si="54"/>
        <v>0.1310289766589959</v>
      </c>
      <c r="R20" s="116">
        <f t="shared" si="55"/>
        <v>0.10584369866228585</v>
      </c>
      <c r="S20" s="116">
        <f t="shared" si="56"/>
        <v>2.5185277996710054E-2</v>
      </c>
      <c r="T20" s="116">
        <f t="shared" si="57"/>
        <v>9.6245851471919316E-2</v>
      </c>
      <c r="U20" s="116">
        <f t="shared" si="58"/>
        <v>3.4783125187076588E-2</v>
      </c>
      <c r="V20" s="116">
        <f t="shared" si="59"/>
        <v>9.230507465226083E-2</v>
      </c>
      <c r="W20" s="116">
        <f t="shared" si="60"/>
        <v>3.8723902006735075E-2</v>
      </c>
      <c r="X20" s="84">
        <v>0.2608695652173913</v>
      </c>
      <c r="Y20" s="84">
        <v>0.19673163300803126</v>
      </c>
      <c r="Z20" s="80">
        <v>-0.19672131147540983</v>
      </c>
      <c r="AA20" s="140">
        <v>0.30488080612301766</v>
      </c>
    </row>
    <row r="21" spans="1:27" s="120" customFormat="1" ht="16" x14ac:dyDescent="0.2">
      <c r="A21" s="73">
        <v>39</v>
      </c>
      <c r="B21" s="45" t="s">
        <v>47</v>
      </c>
      <c r="C21" s="109">
        <v>4912</v>
      </c>
      <c r="D21" s="109">
        <v>5313</v>
      </c>
      <c r="E21" s="116">
        <f t="shared" si="15"/>
        <v>7.5475249388292864E-2</v>
      </c>
      <c r="F21" s="109">
        <v>4754</v>
      </c>
      <c r="G21" s="116">
        <f t="shared" si="3"/>
        <v>0.11758519141775348</v>
      </c>
      <c r="H21" s="109">
        <v>3696</v>
      </c>
      <c r="I21" s="116">
        <f t="shared" si="4"/>
        <v>0.4375</v>
      </c>
      <c r="J21" s="109">
        <v>52760</v>
      </c>
      <c r="K21" s="109">
        <v>54341</v>
      </c>
      <c r="L21" s="116">
        <f t="shared" si="5"/>
        <v>-2.9094054213209181E-2</v>
      </c>
      <c r="M21" s="109">
        <v>58656</v>
      </c>
      <c r="N21" s="116">
        <f t="shared" si="6"/>
        <v>-0.10051827605019094</v>
      </c>
      <c r="O21" s="109">
        <v>60943</v>
      </c>
      <c r="P21" s="116">
        <f t="shared" si="53"/>
        <v>-0.13427300920532301</v>
      </c>
      <c r="Q21" s="116">
        <f t="shared" si="54"/>
        <v>0.10070128885519333</v>
      </c>
      <c r="R21" s="116">
        <f t="shared" si="55"/>
        <v>9.0392153254448757E-2</v>
      </c>
      <c r="S21" s="116">
        <f t="shared" si="56"/>
        <v>1.0309135600744576E-2</v>
      </c>
      <c r="T21" s="116">
        <f t="shared" si="57"/>
        <v>8.1048827059465353E-2</v>
      </c>
      <c r="U21" s="116">
        <f t="shared" si="58"/>
        <v>1.965246179572798E-2</v>
      </c>
      <c r="V21" s="116">
        <f t="shared" si="59"/>
        <v>6.0646833926784043E-2</v>
      </c>
      <c r="W21" s="116">
        <f t="shared" si="60"/>
        <v>4.005445492840929E-2</v>
      </c>
      <c r="X21" s="84">
        <v>0.18953068592057762</v>
      </c>
      <c r="Y21" s="84">
        <v>0.19695925719540114</v>
      </c>
      <c r="Z21" s="80">
        <v>0.51941747572815533</v>
      </c>
      <c r="AA21" s="140">
        <v>0.40600982176639328</v>
      </c>
    </row>
    <row r="22" spans="1:27" s="120" customFormat="1" ht="16" x14ac:dyDescent="0.2">
      <c r="A22" s="73">
        <v>40</v>
      </c>
      <c r="B22" s="45" t="s">
        <v>48</v>
      </c>
      <c r="C22" s="109">
        <v>984</v>
      </c>
      <c r="D22" s="109">
        <v>972</v>
      </c>
      <c r="E22" s="116">
        <f t="shared" si="15"/>
        <v>-1.2345679012345678E-2</v>
      </c>
      <c r="F22" s="109">
        <v>881</v>
      </c>
      <c r="G22" s="116">
        <f t="shared" si="3"/>
        <v>0.10329171396140749</v>
      </c>
      <c r="H22" s="109">
        <v>624</v>
      </c>
      <c r="I22" s="116">
        <f t="shared" si="4"/>
        <v>0.55769230769230771</v>
      </c>
      <c r="J22" s="109">
        <v>7732</v>
      </c>
      <c r="K22" s="109">
        <v>7417</v>
      </c>
      <c r="L22" s="116">
        <f t="shared" si="5"/>
        <v>4.2470001348254009E-2</v>
      </c>
      <c r="M22" s="83">
        <v>7559</v>
      </c>
      <c r="N22" s="116">
        <f t="shared" si="6"/>
        <v>2.2886625214975524E-2</v>
      </c>
      <c r="O22" s="109">
        <v>7374</v>
      </c>
      <c r="P22" s="116">
        <f t="shared" ref="P22:P23" si="61">(J22-O22)/O22</f>
        <v>4.8548955790615675E-2</v>
      </c>
      <c r="Q22" s="116">
        <f t="shared" ref="Q22:Q23" si="62">(D22/J22)</f>
        <v>0.12571132953957578</v>
      </c>
      <c r="R22" s="116">
        <f t="shared" ref="R22:R23" si="63">(C22/K22)</f>
        <v>0.13266819468787919</v>
      </c>
      <c r="S22" s="116">
        <f t="shared" ref="S22:S23" si="64">Q22-R22</f>
        <v>-6.9568651483034039E-3</v>
      </c>
      <c r="T22" s="116">
        <f t="shared" ref="T22:T23" si="65">(F22/M22)</f>
        <v>0.11654980817568461</v>
      </c>
      <c r="U22" s="116">
        <f t="shared" ref="U22:U23" si="66">Q22-T22</f>
        <v>9.161521363891173E-3</v>
      </c>
      <c r="V22" s="116">
        <f t="shared" ref="V22:V23" si="67">H22/O22</f>
        <v>8.462164361269324E-2</v>
      </c>
      <c r="W22" s="116">
        <f t="shared" ref="W22:W23" si="68">Q22-V22</f>
        <v>4.1089685926882544E-2</v>
      </c>
      <c r="X22" s="84">
        <v>0.25</v>
      </c>
      <c r="Y22" s="84">
        <v>0.1767904450232641</v>
      </c>
      <c r="Z22" s="80">
        <v>0.29310344827586204</v>
      </c>
      <c r="AA22" s="140">
        <v>0.40311943897913133</v>
      </c>
    </row>
    <row r="23" spans="1:27" s="120" customFormat="1" ht="16" x14ac:dyDescent="0.2">
      <c r="A23" s="73">
        <v>41</v>
      </c>
      <c r="B23" s="45" t="s">
        <v>49</v>
      </c>
      <c r="C23" s="109">
        <v>2224</v>
      </c>
      <c r="D23" s="109">
        <v>2269</v>
      </c>
      <c r="E23" s="116">
        <f t="shared" si="15"/>
        <v>1.9832525341560159E-2</v>
      </c>
      <c r="F23" s="109">
        <v>1905</v>
      </c>
      <c r="G23" s="116">
        <f t="shared" si="3"/>
        <v>0.1910761154855643</v>
      </c>
      <c r="H23" s="109">
        <v>1480</v>
      </c>
      <c r="I23" s="116">
        <f t="shared" si="4"/>
        <v>0.53310810810810816</v>
      </c>
      <c r="J23" s="109">
        <v>24891</v>
      </c>
      <c r="K23" s="109">
        <v>24753</v>
      </c>
      <c r="L23" s="116">
        <f t="shared" si="5"/>
        <v>5.5750818082656644E-3</v>
      </c>
      <c r="M23" s="109">
        <v>25655</v>
      </c>
      <c r="N23" s="116">
        <f t="shared" si="6"/>
        <v>-2.9779770025336192E-2</v>
      </c>
      <c r="O23" s="109">
        <v>25576</v>
      </c>
      <c r="P23" s="116">
        <f t="shared" si="61"/>
        <v>-2.6782921488895838E-2</v>
      </c>
      <c r="Q23" s="116">
        <f t="shared" si="62"/>
        <v>9.115744646659435E-2</v>
      </c>
      <c r="R23" s="116">
        <f t="shared" si="63"/>
        <v>8.9847695228861144E-2</v>
      </c>
      <c r="S23" s="116">
        <f t="shared" si="64"/>
        <v>1.309751237733206E-3</v>
      </c>
      <c r="T23" s="116">
        <f t="shared" si="65"/>
        <v>7.425453128045216E-2</v>
      </c>
      <c r="U23" s="116">
        <f t="shared" si="66"/>
        <v>1.6902915186142189E-2</v>
      </c>
      <c r="V23" s="116">
        <f t="shared" si="67"/>
        <v>5.786675007819831E-2</v>
      </c>
      <c r="W23" s="116">
        <f t="shared" si="68"/>
        <v>3.3290696388396039E-2</v>
      </c>
      <c r="X23" s="84">
        <v>0.23255813953488372</v>
      </c>
      <c r="Y23" s="84">
        <v>0.21186866385385233</v>
      </c>
      <c r="Z23" s="80">
        <v>0.47572815533980584</v>
      </c>
      <c r="AA23" s="140">
        <v>0.4996006530193009</v>
      </c>
    </row>
    <row r="24" spans="1:27" s="120" customFormat="1" ht="17" x14ac:dyDescent="0.2">
      <c r="A24" s="73">
        <v>42</v>
      </c>
      <c r="B24" s="45" t="s">
        <v>50</v>
      </c>
      <c r="C24" s="109">
        <v>1458</v>
      </c>
      <c r="D24" s="109">
        <v>1536</v>
      </c>
      <c r="E24" s="116">
        <f t="shared" si="15"/>
        <v>5.078125E-2</v>
      </c>
      <c r="F24" s="109">
        <v>1456</v>
      </c>
      <c r="G24" s="116">
        <f t="shared" si="3"/>
        <v>5.4945054945054944E-2</v>
      </c>
      <c r="H24" s="114" t="s">
        <v>85</v>
      </c>
      <c r="I24" s="117" t="s">
        <v>85</v>
      </c>
      <c r="J24" s="109">
        <v>14999</v>
      </c>
      <c r="K24" s="109">
        <v>14488</v>
      </c>
      <c r="L24" s="116">
        <f t="shared" si="5"/>
        <v>3.5270568746548867E-2</v>
      </c>
      <c r="M24" s="109">
        <v>15309</v>
      </c>
      <c r="N24" s="116">
        <f t="shared" si="6"/>
        <v>-2.0249526422365927E-2</v>
      </c>
      <c r="O24" s="109">
        <v>15721</v>
      </c>
      <c r="P24" s="116">
        <f t="shared" ref="P24" si="69">(J24-O24)/O24</f>
        <v>-4.592583169009605E-2</v>
      </c>
      <c r="Q24" s="116">
        <f t="shared" ref="Q24" si="70">(D24/J24)</f>
        <v>0.10240682712180812</v>
      </c>
      <c r="R24" s="116">
        <f t="shared" ref="R24" si="71">(C24/K24)</f>
        <v>0.10063500828271674</v>
      </c>
      <c r="S24" s="116">
        <f t="shared" ref="S24" si="72">Q24-R24</f>
        <v>1.771818839091388E-3</v>
      </c>
      <c r="T24" s="116">
        <f t="shared" ref="T24" si="73">(F24/M24)</f>
        <v>9.5107453132144484E-2</v>
      </c>
      <c r="U24" s="116">
        <f t="shared" ref="U24" si="74">Q24-T24</f>
        <v>7.2993739896636406E-3</v>
      </c>
      <c r="V24" s="116"/>
      <c r="W24" s="116"/>
      <c r="X24" s="84">
        <v>0.2421875</v>
      </c>
      <c r="Y24" s="84">
        <v>0.16182685609409747</v>
      </c>
      <c r="Z24" s="80">
        <v>0.52991452991452992</v>
      </c>
      <c r="AA24" s="140">
        <v>0.57036080408342282</v>
      </c>
    </row>
    <row r="25" spans="1:27" s="120" customFormat="1" ht="16" x14ac:dyDescent="0.2">
      <c r="A25" s="73">
        <v>43</v>
      </c>
      <c r="B25" s="45" t="s">
        <v>51</v>
      </c>
      <c r="C25" s="109">
        <v>3662</v>
      </c>
      <c r="D25" s="109">
        <v>3824</v>
      </c>
      <c r="E25" s="116">
        <f t="shared" si="15"/>
        <v>4.2364016736401673E-2</v>
      </c>
      <c r="F25" s="53">
        <v>2869</v>
      </c>
      <c r="G25" s="116">
        <f t="shared" si="3"/>
        <v>0.33286859532938307</v>
      </c>
      <c r="H25" s="109">
        <v>2312</v>
      </c>
      <c r="I25" s="116">
        <f t="shared" si="4"/>
        <v>0.65397923875432529</v>
      </c>
      <c r="J25" s="109">
        <v>32961</v>
      </c>
      <c r="K25" s="53">
        <v>33144</v>
      </c>
      <c r="L25" s="116">
        <f t="shared" si="5"/>
        <v>-5.5213613323678492E-3</v>
      </c>
      <c r="M25" s="109">
        <v>33131</v>
      </c>
      <c r="N25" s="116">
        <f t="shared" si="6"/>
        <v>-5.1311460565633396E-3</v>
      </c>
      <c r="O25" s="109">
        <v>32812</v>
      </c>
      <c r="P25" s="116">
        <f t="shared" ref="P25:P62" si="75">(J25-O25)/O25</f>
        <v>4.5410215774716566E-3</v>
      </c>
      <c r="Q25" s="116">
        <f t="shared" ref="Q25:Q62" si="76">(D25/J25)</f>
        <v>0.11601589757592307</v>
      </c>
      <c r="R25" s="116">
        <f t="shared" ref="R25:R62" si="77">(C25/K25)</f>
        <v>0.11048756939415882</v>
      </c>
      <c r="S25" s="116">
        <f t="shared" ref="S25:S62" si="78">Q25-R25</f>
        <v>5.5283281817642416E-3</v>
      </c>
      <c r="T25" s="116">
        <f t="shared" ref="T25:T62" si="79">(F25/M25)</f>
        <v>8.6595635507530716E-2</v>
      </c>
      <c r="U25" s="116">
        <f t="shared" ref="U25:U62" si="80">Q25-T25</f>
        <v>2.942026206839235E-2</v>
      </c>
      <c r="V25" s="116">
        <f t="shared" ref="V25:V62" si="81">H25/O25</f>
        <v>7.0462026088016577E-2</v>
      </c>
      <c r="W25" s="116">
        <f t="shared" ref="W25:W62" si="82">Q25-V25</f>
        <v>4.5553871487906489E-2</v>
      </c>
      <c r="X25" s="84">
        <v>0.20121951219512196</v>
      </c>
      <c r="Y25" s="84">
        <v>0.19061428150526999</v>
      </c>
      <c r="Z25" s="80">
        <v>0.32916666666666666</v>
      </c>
      <c r="AA25" s="140">
        <v>0.3959970414462271</v>
      </c>
    </row>
    <row r="26" spans="1:27" s="120" customFormat="1" ht="16" x14ac:dyDescent="0.2">
      <c r="A26" s="73">
        <v>44</v>
      </c>
      <c r="B26" s="45" t="s">
        <v>52</v>
      </c>
      <c r="C26" s="109">
        <v>2523</v>
      </c>
      <c r="D26" s="109">
        <v>2487</v>
      </c>
      <c r="E26" s="116">
        <f t="shared" si="15"/>
        <v>-1.4475271411338963E-2</v>
      </c>
      <c r="F26" s="53">
        <v>2266</v>
      </c>
      <c r="G26" s="116">
        <f t="shared" si="3"/>
        <v>9.7528684907325677E-2</v>
      </c>
      <c r="H26" s="109">
        <v>1967</v>
      </c>
      <c r="I26" s="116">
        <f t="shared" si="4"/>
        <v>0.26436197254702593</v>
      </c>
      <c r="J26" s="109">
        <v>16176</v>
      </c>
      <c r="K26" s="53">
        <v>15876</v>
      </c>
      <c r="L26" s="116">
        <f t="shared" si="5"/>
        <v>1.889644746787604E-2</v>
      </c>
      <c r="M26" s="109">
        <v>16332</v>
      </c>
      <c r="N26" s="116">
        <f t="shared" si="6"/>
        <v>-9.5518001469507719E-3</v>
      </c>
      <c r="O26" s="109">
        <v>18262</v>
      </c>
      <c r="P26" s="116">
        <f t="shared" si="75"/>
        <v>-0.11422626218376958</v>
      </c>
      <c r="Q26" s="116">
        <f t="shared" si="76"/>
        <v>0.15374629080118693</v>
      </c>
      <c r="R26" s="116">
        <f t="shared" si="77"/>
        <v>0.1589191232048375</v>
      </c>
      <c r="S26" s="116">
        <f t="shared" si="78"/>
        <v>-5.1728324036505735E-3</v>
      </c>
      <c r="T26" s="116">
        <f t="shared" si="79"/>
        <v>0.13874602008327211</v>
      </c>
      <c r="U26" s="116">
        <f t="shared" si="80"/>
        <v>1.5000270717914821E-2</v>
      </c>
      <c r="V26" s="116">
        <f t="shared" si="81"/>
        <v>0.1077099989048297</v>
      </c>
      <c r="W26" s="116">
        <f t="shared" si="82"/>
        <v>4.6036291896357232E-2</v>
      </c>
      <c r="X26" s="84">
        <v>0.13574660633484162</v>
      </c>
      <c r="Y26" s="84">
        <v>0.1256408640629324</v>
      </c>
      <c r="Z26" s="80">
        <v>0.20809248554913296</v>
      </c>
      <c r="AA26" s="140">
        <v>0.29272641734908694</v>
      </c>
    </row>
    <row r="27" spans="1:27" s="120" customFormat="1" ht="16" x14ac:dyDescent="0.2">
      <c r="A27" s="73">
        <v>45</v>
      </c>
      <c r="B27" s="45" t="s">
        <v>53</v>
      </c>
      <c r="C27" s="109">
        <v>980</v>
      </c>
      <c r="D27" s="109">
        <v>995</v>
      </c>
      <c r="E27" s="116">
        <f t="shared" si="15"/>
        <v>1.507537688442211E-2</v>
      </c>
      <c r="F27" s="53">
        <v>826</v>
      </c>
      <c r="G27" s="116">
        <f t="shared" si="3"/>
        <v>0.20460048426150121</v>
      </c>
      <c r="H27" s="109">
        <v>715</v>
      </c>
      <c r="I27" s="116">
        <f t="shared" si="4"/>
        <v>0.39160839160839161</v>
      </c>
      <c r="J27" s="109">
        <v>7292</v>
      </c>
      <c r="K27" s="53">
        <v>7268</v>
      </c>
      <c r="L27" s="116">
        <f t="shared" si="5"/>
        <v>3.3021463951568518E-3</v>
      </c>
      <c r="M27" s="109">
        <v>7028</v>
      </c>
      <c r="N27" s="116">
        <f t="shared" si="6"/>
        <v>3.7564029595902104E-2</v>
      </c>
      <c r="O27" s="109">
        <v>6746</v>
      </c>
      <c r="P27" s="116">
        <f t="shared" si="75"/>
        <v>8.0936851467536319E-2</v>
      </c>
      <c r="Q27" s="116">
        <f t="shared" si="76"/>
        <v>0.13645090510148108</v>
      </c>
      <c r="R27" s="116">
        <f t="shared" si="77"/>
        <v>0.13483764446890478</v>
      </c>
      <c r="S27" s="116">
        <f t="shared" si="78"/>
        <v>1.6132606325763021E-3</v>
      </c>
      <c r="T27" s="116">
        <f t="shared" si="79"/>
        <v>0.11752988047808766</v>
      </c>
      <c r="U27" s="116">
        <f t="shared" si="80"/>
        <v>1.8921024623393429E-2</v>
      </c>
      <c r="V27" s="116">
        <f t="shared" si="81"/>
        <v>0.1059887340646309</v>
      </c>
      <c r="W27" s="116">
        <f t="shared" si="82"/>
        <v>3.0462171036850186E-2</v>
      </c>
      <c r="X27" s="84">
        <v>0.125</v>
      </c>
      <c r="Y27" s="84">
        <v>7.7461788717034089E-2</v>
      </c>
      <c r="Z27" s="80">
        <v>0.55882352941176472</v>
      </c>
      <c r="AA27" s="140">
        <v>0.51624943014929359</v>
      </c>
    </row>
    <row r="28" spans="1:27" s="120" customFormat="1" ht="16" x14ac:dyDescent="0.2">
      <c r="A28" s="73">
        <v>46</v>
      </c>
      <c r="B28" s="45" t="s">
        <v>10</v>
      </c>
      <c r="E28" s="116"/>
      <c r="F28" s="53"/>
      <c r="G28" s="116"/>
      <c r="H28" s="109"/>
      <c r="I28" s="116"/>
      <c r="J28" s="109"/>
      <c r="K28" s="116"/>
      <c r="L28" s="116"/>
      <c r="M28" s="109"/>
      <c r="N28" s="116"/>
      <c r="O28" s="109"/>
      <c r="P28" s="116"/>
      <c r="Q28" s="116"/>
      <c r="R28" s="116"/>
      <c r="S28" s="116"/>
      <c r="T28" s="116"/>
      <c r="U28" s="116"/>
      <c r="V28" s="116"/>
      <c r="W28" s="116"/>
      <c r="X28" s="84"/>
      <c r="Y28" s="84"/>
      <c r="Z28" s="80"/>
      <c r="AA28" s="141"/>
    </row>
    <row r="29" spans="1:27" s="120" customFormat="1" ht="16" x14ac:dyDescent="0.2">
      <c r="A29" s="73">
        <v>47</v>
      </c>
      <c r="B29" s="45" t="s">
        <v>54</v>
      </c>
      <c r="C29" s="109">
        <v>98</v>
      </c>
      <c r="D29" s="109">
        <v>122</v>
      </c>
      <c r="E29" s="116">
        <f t="shared" si="15"/>
        <v>0.19672131147540983</v>
      </c>
      <c r="F29" s="53">
        <v>11</v>
      </c>
      <c r="G29" s="116">
        <f>(D29-F29)/F29</f>
        <v>10.090909090909092</v>
      </c>
      <c r="H29" s="109"/>
      <c r="I29" s="116"/>
      <c r="J29" s="109">
        <v>2029</v>
      </c>
      <c r="K29" s="53">
        <v>2114</v>
      </c>
      <c r="L29" s="116">
        <f t="shared" si="5"/>
        <v>-4.0208136234626303E-2</v>
      </c>
      <c r="M29" s="109">
        <v>2244</v>
      </c>
      <c r="N29" s="116">
        <f t="shared" si="6"/>
        <v>-9.5811051693404634E-2</v>
      </c>
      <c r="O29" s="109">
        <v>2629</v>
      </c>
      <c r="P29" s="116">
        <f t="shared" si="75"/>
        <v>-0.22822365918600229</v>
      </c>
      <c r="Q29" s="116">
        <f t="shared" si="76"/>
        <v>6.0128141941843273E-2</v>
      </c>
      <c r="R29" s="116">
        <f t="shared" si="77"/>
        <v>4.6357615894039736E-2</v>
      </c>
      <c r="S29" s="116">
        <f t="shared" si="78"/>
        <v>1.3770526047803537E-2</v>
      </c>
      <c r="T29" s="116">
        <f t="shared" si="79"/>
        <v>4.9019607843137254E-3</v>
      </c>
      <c r="U29" s="116">
        <f t="shared" si="80"/>
        <v>5.5226181157529544E-2</v>
      </c>
      <c r="V29" s="116">
        <f t="shared" si="81"/>
        <v>0</v>
      </c>
      <c r="W29" s="116">
        <f t="shared" si="82"/>
        <v>6.0128141941843273E-2</v>
      </c>
      <c r="X29" s="100" t="s">
        <v>85</v>
      </c>
      <c r="Y29" s="100"/>
      <c r="Z29" s="92"/>
      <c r="AA29" s="142"/>
    </row>
    <row r="30" spans="1:27" s="131" customFormat="1" ht="17" x14ac:dyDescent="0.2">
      <c r="A30" s="81">
        <v>48</v>
      </c>
      <c r="B30" s="59" t="s">
        <v>55</v>
      </c>
      <c r="C30" s="111">
        <v>660</v>
      </c>
      <c r="D30" s="111">
        <v>802</v>
      </c>
      <c r="E30" s="128">
        <f t="shared" si="15"/>
        <v>0.17705735660847879</v>
      </c>
      <c r="F30" s="129" t="s">
        <v>85</v>
      </c>
      <c r="G30" s="128"/>
      <c r="H30" s="111">
        <v>259</v>
      </c>
      <c r="I30" s="128">
        <f t="shared" si="4"/>
        <v>2.0965250965250966</v>
      </c>
      <c r="J30" s="111">
        <v>4824</v>
      </c>
      <c r="K30" s="130">
        <v>4596</v>
      </c>
      <c r="L30" s="128">
        <f t="shared" si="5"/>
        <v>4.960835509138381E-2</v>
      </c>
      <c r="M30" s="111">
        <v>4199</v>
      </c>
      <c r="N30" s="128">
        <f t="shared" si="6"/>
        <v>0.14884496308644915</v>
      </c>
      <c r="O30" s="111">
        <v>4491</v>
      </c>
      <c r="P30" s="128">
        <f t="shared" si="75"/>
        <v>7.4148296593186377E-2</v>
      </c>
      <c r="Q30" s="128">
        <f t="shared" si="76"/>
        <v>0.16625207296849087</v>
      </c>
      <c r="R30" s="128">
        <f t="shared" si="77"/>
        <v>0.14360313315926893</v>
      </c>
      <c r="S30" s="128">
        <f t="shared" si="78"/>
        <v>2.2648939809221946E-2</v>
      </c>
      <c r="T30" s="128"/>
      <c r="U30" s="128"/>
      <c r="V30" s="128">
        <f t="shared" si="81"/>
        <v>5.7670897350256066E-2</v>
      </c>
      <c r="W30" s="128">
        <f t="shared" si="82"/>
        <v>0.1085811756182348</v>
      </c>
      <c r="X30" s="102"/>
      <c r="Y30" s="102"/>
      <c r="Z30" s="65">
        <v>0.660377358490566</v>
      </c>
      <c r="AA30" s="143">
        <v>0.63082407634294424</v>
      </c>
    </row>
    <row r="31" spans="1:27" s="120" customFormat="1" ht="16" x14ac:dyDescent="0.2">
      <c r="A31" s="73">
        <v>49</v>
      </c>
      <c r="B31" s="45" t="s">
        <v>13</v>
      </c>
      <c r="C31" s="109"/>
      <c r="D31" s="109"/>
      <c r="E31" s="116"/>
      <c r="F31" s="116"/>
      <c r="G31" s="116"/>
      <c r="H31" s="109"/>
      <c r="I31" s="116"/>
      <c r="J31" s="109"/>
      <c r="K31" s="116"/>
      <c r="L31" s="116"/>
      <c r="M31" s="109"/>
      <c r="N31" s="116"/>
      <c r="O31" s="109"/>
      <c r="P31" s="116"/>
      <c r="Q31" s="116"/>
      <c r="R31" s="116"/>
      <c r="S31" s="116"/>
      <c r="T31" s="116"/>
      <c r="U31" s="116"/>
      <c r="V31" s="116"/>
      <c r="W31" s="116"/>
      <c r="X31" s="84"/>
      <c r="Y31" s="84"/>
      <c r="Z31" s="80"/>
      <c r="AA31" s="141"/>
    </row>
    <row r="32" spans="1:27" s="120" customFormat="1" ht="16" x14ac:dyDescent="0.2">
      <c r="A32" s="73">
        <v>50</v>
      </c>
      <c r="B32" s="45" t="s">
        <v>56</v>
      </c>
      <c r="C32" s="109">
        <v>33</v>
      </c>
      <c r="D32" s="109">
        <v>24</v>
      </c>
      <c r="E32" s="116">
        <f t="shared" si="15"/>
        <v>-0.375</v>
      </c>
      <c r="F32" s="83">
        <v>38</v>
      </c>
      <c r="G32" s="116">
        <f t="shared" si="3"/>
        <v>-0.36842105263157893</v>
      </c>
      <c r="H32" s="109"/>
      <c r="I32" s="116"/>
      <c r="J32" s="109">
        <v>554</v>
      </c>
      <c r="K32" s="53">
        <v>564</v>
      </c>
      <c r="L32" s="116">
        <f t="shared" si="5"/>
        <v>-1.7730496453900711E-2</v>
      </c>
      <c r="M32" s="109">
        <v>695</v>
      </c>
      <c r="N32" s="116">
        <f t="shared" si="6"/>
        <v>-0.20287769784172663</v>
      </c>
      <c r="O32" s="132">
        <v>823</v>
      </c>
      <c r="P32" s="116">
        <f t="shared" si="75"/>
        <v>-0.32685297691373028</v>
      </c>
      <c r="Q32" s="116">
        <f t="shared" si="76"/>
        <v>4.3321299638989168E-2</v>
      </c>
      <c r="R32" s="116">
        <f t="shared" si="77"/>
        <v>5.8510638297872342E-2</v>
      </c>
      <c r="S32" s="116">
        <f t="shared" si="78"/>
        <v>-1.5189338658883174E-2</v>
      </c>
      <c r="T32" s="116">
        <f t="shared" si="79"/>
        <v>5.4676258992805753E-2</v>
      </c>
      <c r="U32" s="116">
        <f t="shared" si="80"/>
        <v>-1.1354959353816585E-2</v>
      </c>
      <c r="V32" s="116">
        <f t="shared" si="81"/>
        <v>0</v>
      </c>
      <c r="W32" s="116">
        <f t="shared" si="82"/>
        <v>4.3321299638989168E-2</v>
      </c>
      <c r="X32" s="100"/>
      <c r="Y32" s="117"/>
      <c r="Z32" s="92"/>
      <c r="AA32" s="142"/>
    </row>
    <row r="33" spans="1:27" s="120" customFormat="1" ht="16" x14ac:dyDescent="0.2">
      <c r="A33" s="73">
        <v>51</v>
      </c>
      <c r="B33" s="45" t="s">
        <v>5</v>
      </c>
      <c r="E33" s="116"/>
      <c r="F33" s="116"/>
      <c r="G33" s="116"/>
      <c r="H33" s="109"/>
      <c r="I33" s="116"/>
      <c r="J33" s="109"/>
      <c r="K33" s="116"/>
      <c r="L33" s="116"/>
      <c r="M33" s="109"/>
      <c r="N33" s="116"/>
      <c r="O33" s="109"/>
      <c r="P33" s="116"/>
      <c r="Q33" s="116"/>
      <c r="R33" s="116"/>
      <c r="S33" s="116"/>
      <c r="T33" s="116"/>
      <c r="U33" s="116"/>
      <c r="V33" s="116"/>
      <c r="W33" s="116"/>
      <c r="X33" s="84"/>
      <c r="Y33" s="84"/>
      <c r="Z33" s="80"/>
      <c r="AA33" s="141"/>
    </row>
    <row r="34" spans="1:27" s="120" customFormat="1" ht="16" x14ac:dyDescent="0.2">
      <c r="A34" s="73">
        <v>52</v>
      </c>
      <c r="B34" s="45" t="s">
        <v>57</v>
      </c>
      <c r="C34" s="109">
        <v>165</v>
      </c>
      <c r="D34" s="109">
        <v>196</v>
      </c>
      <c r="E34" s="116">
        <f t="shared" si="15"/>
        <v>0.15816326530612246</v>
      </c>
      <c r="F34" s="53">
        <v>165</v>
      </c>
      <c r="G34" s="116">
        <f t="shared" si="3"/>
        <v>0.18787878787878787</v>
      </c>
      <c r="H34" s="109">
        <v>157</v>
      </c>
      <c r="I34" s="116">
        <f t="shared" si="4"/>
        <v>0.24840764331210191</v>
      </c>
      <c r="J34" s="76">
        <v>2072</v>
      </c>
      <c r="K34" s="53">
        <v>2066</v>
      </c>
      <c r="L34" s="116">
        <f t="shared" si="5"/>
        <v>2.9041626331074541E-3</v>
      </c>
      <c r="M34" s="76">
        <v>2328</v>
      </c>
      <c r="N34" s="116">
        <f t="shared" si="6"/>
        <v>-0.10996563573883161</v>
      </c>
      <c r="O34" s="76">
        <v>2789</v>
      </c>
      <c r="P34" s="116">
        <f t="shared" si="75"/>
        <v>-0.2570813911796343</v>
      </c>
      <c r="Q34" s="116">
        <f t="shared" si="76"/>
        <v>9.45945945945946E-2</v>
      </c>
      <c r="R34" s="116">
        <f t="shared" si="77"/>
        <v>7.9864472410454981E-2</v>
      </c>
      <c r="S34" s="116">
        <f t="shared" si="78"/>
        <v>1.4730122184139618E-2</v>
      </c>
      <c r="T34" s="116">
        <f t="shared" si="79"/>
        <v>7.0876288659793812E-2</v>
      </c>
      <c r="U34" s="116">
        <f t="shared" si="80"/>
        <v>2.3718305934800787E-2</v>
      </c>
      <c r="V34" s="116">
        <f t="shared" si="81"/>
        <v>5.6292577984940841E-2</v>
      </c>
      <c r="W34" s="116">
        <f t="shared" si="82"/>
        <v>3.8302016609653759E-2</v>
      </c>
      <c r="X34" s="84">
        <v>0.3</v>
      </c>
      <c r="Y34" s="84">
        <v>0.33429888951628084</v>
      </c>
      <c r="Z34" s="72">
        <v>9.0909090909090912E-2</v>
      </c>
      <c r="AA34" s="140">
        <v>9.0909090909090912E-2</v>
      </c>
    </row>
    <row r="35" spans="1:27" s="120" customFormat="1" ht="16" x14ac:dyDescent="0.2">
      <c r="A35" s="73">
        <v>53</v>
      </c>
      <c r="B35" s="45" t="s">
        <v>6</v>
      </c>
      <c r="C35" s="121"/>
      <c r="D35" s="109"/>
      <c r="E35" s="122"/>
      <c r="F35" s="123"/>
      <c r="G35" s="122"/>
      <c r="H35" s="123"/>
      <c r="I35" s="122"/>
      <c r="J35" s="109">
        <v>2342</v>
      </c>
      <c r="K35" s="119">
        <v>2400</v>
      </c>
      <c r="L35" s="116">
        <f t="shared" si="5"/>
        <v>-2.4166666666666666E-2</v>
      </c>
      <c r="M35" s="109">
        <v>2505</v>
      </c>
      <c r="N35" s="116">
        <f t="shared" si="6"/>
        <v>-6.5069860279441116E-2</v>
      </c>
      <c r="O35" s="109">
        <v>3052</v>
      </c>
      <c r="P35" s="116">
        <f t="shared" si="75"/>
        <v>-0.23263433813892528</v>
      </c>
      <c r="Q35" s="116">
        <f t="shared" si="76"/>
        <v>0</v>
      </c>
      <c r="R35" s="116">
        <f t="shared" si="77"/>
        <v>0</v>
      </c>
      <c r="S35" s="116"/>
      <c r="T35" s="116"/>
      <c r="U35" s="116"/>
      <c r="V35" s="116"/>
      <c r="W35" s="116"/>
      <c r="X35" s="84"/>
      <c r="Y35" s="84"/>
      <c r="Z35" s="80"/>
      <c r="AA35" s="141"/>
    </row>
    <row r="36" spans="1:27" s="120" customFormat="1" ht="16" x14ac:dyDescent="0.2">
      <c r="A36" s="73">
        <v>54</v>
      </c>
      <c r="B36" s="45" t="s">
        <v>58</v>
      </c>
      <c r="C36" s="109">
        <v>194</v>
      </c>
      <c r="D36" s="109">
        <v>198</v>
      </c>
      <c r="E36" s="116">
        <f t="shared" si="15"/>
        <v>2.0202020202020204E-2</v>
      </c>
      <c r="F36" s="53">
        <v>149</v>
      </c>
      <c r="G36" s="116">
        <f t="shared" si="3"/>
        <v>0.32885906040268459</v>
      </c>
      <c r="H36" s="109">
        <v>117</v>
      </c>
      <c r="I36" s="116">
        <f t="shared" si="4"/>
        <v>0.69230769230769229</v>
      </c>
      <c r="J36" s="109">
        <v>2066</v>
      </c>
      <c r="K36" s="53">
        <v>2072</v>
      </c>
      <c r="L36" s="116">
        <f t="shared" si="5"/>
        <v>-2.8957528957528956E-3</v>
      </c>
      <c r="M36" s="109">
        <v>2371</v>
      </c>
      <c r="N36" s="116">
        <f t="shared" si="6"/>
        <v>-0.12863770560944748</v>
      </c>
      <c r="O36" s="109">
        <v>2640</v>
      </c>
      <c r="P36" s="116">
        <f t="shared" si="75"/>
        <v>-0.21742424242424244</v>
      </c>
      <c r="Q36" s="116">
        <f t="shared" si="76"/>
        <v>9.5837366892545989E-2</v>
      </c>
      <c r="R36" s="116">
        <f t="shared" si="77"/>
        <v>9.3629343629343623E-2</v>
      </c>
      <c r="S36" s="116">
        <f t="shared" si="78"/>
        <v>2.2080232632023661E-3</v>
      </c>
      <c r="T36" s="116">
        <f t="shared" si="79"/>
        <v>6.2842682412484183E-2</v>
      </c>
      <c r="U36" s="116">
        <f t="shared" si="80"/>
        <v>3.2994684480061806E-2</v>
      </c>
      <c r="V36" s="116">
        <f t="shared" si="81"/>
        <v>4.4318181818181819E-2</v>
      </c>
      <c r="W36" s="116">
        <f t="shared" si="82"/>
        <v>5.151918507436417E-2</v>
      </c>
      <c r="X36" s="84">
        <v>0.16666666666666666</v>
      </c>
      <c r="Y36" s="84">
        <v>8.5394315829098427E-2</v>
      </c>
      <c r="Z36" s="92"/>
      <c r="AA36" s="142"/>
    </row>
    <row r="37" spans="1:27" s="120" customFormat="1" ht="16" x14ac:dyDescent="0.2">
      <c r="A37" s="73">
        <v>57</v>
      </c>
      <c r="B37" s="45" t="s">
        <v>59</v>
      </c>
      <c r="C37" s="109">
        <v>1001</v>
      </c>
      <c r="D37" s="76">
        <v>1044</v>
      </c>
      <c r="E37" s="116">
        <f t="shared" si="15"/>
        <v>4.1187739463601533E-2</v>
      </c>
      <c r="F37" s="53">
        <v>756</v>
      </c>
      <c r="G37" s="116">
        <f t="shared" si="3"/>
        <v>0.38095238095238093</v>
      </c>
      <c r="H37" s="109">
        <v>678</v>
      </c>
      <c r="I37" s="116">
        <f t="shared" si="4"/>
        <v>0.53982300884955747</v>
      </c>
      <c r="J37" s="109">
        <v>12988</v>
      </c>
      <c r="K37" s="53">
        <v>12915</v>
      </c>
      <c r="L37" s="116">
        <f t="shared" si="5"/>
        <v>5.6523422377080914E-3</v>
      </c>
      <c r="M37" s="109">
        <v>14127</v>
      </c>
      <c r="N37" s="116">
        <f t="shared" si="6"/>
        <v>-8.0625752105896509E-2</v>
      </c>
      <c r="O37" s="109">
        <v>16254</v>
      </c>
      <c r="P37" s="116">
        <f t="shared" si="75"/>
        <v>-0.20093515442352652</v>
      </c>
      <c r="Q37" s="116">
        <f t="shared" si="76"/>
        <v>8.03818909762858E-2</v>
      </c>
      <c r="R37" s="116">
        <f t="shared" si="77"/>
        <v>7.750677506775068E-2</v>
      </c>
      <c r="S37" s="116">
        <f t="shared" si="78"/>
        <v>2.8751159085351197E-3</v>
      </c>
      <c r="T37" s="116">
        <f t="shared" si="79"/>
        <v>5.3514546612868974E-2</v>
      </c>
      <c r="U37" s="116">
        <f t="shared" si="80"/>
        <v>2.6867344363416826E-2</v>
      </c>
      <c r="V37" s="116">
        <f t="shared" si="81"/>
        <v>4.1712809154669621E-2</v>
      </c>
      <c r="W37" s="116">
        <f t="shared" si="82"/>
        <v>3.8669081821616179E-2</v>
      </c>
      <c r="X37" s="84">
        <v>0.32692307692307693</v>
      </c>
      <c r="Y37" s="84">
        <v>0.25482424199784642</v>
      </c>
      <c r="Z37" s="80">
        <v>0.11764705882352941</v>
      </c>
      <c r="AA37" s="140">
        <v>0.33414215767156946</v>
      </c>
    </row>
    <row r="38" spans="1:27" s="120" customFormat="1" ht="16" x14ac:dyDescent="0.2">
      <c r="A38" s="73">
        <v>58</v>
      </c>
      <c r="B38" s="45" t="s">
        <v>60</v>
      </c>
      <c r="C38" s="109">
        <v>162</v>
      </c>
      <c r="D38" s="76">
        <v>175</v>
      </c>
      <c r="E38" s="116">
        <f t="shared" si="15"/>
        <v>7.4285714285714288E-2</v>
      </c>
      <c r="F38" s="53">
        <v>165</v>
      </c>
      <c r="G38" s="116">
        <f t="shared" si="3"/>
        <v>6.0606060606060608E-2</v>
      </c>
      <c r="H38" s="76">
        <v>193</v>
      </c>
      <c r="I38" s="116">
        <f t="shared" si="4"/>
        <v>-9.3264248704663211E-2</v>
      </c>
      <c r="J38" s="109">
        <v>2263</v>
      </c>
      <c r="K38" s="53">
        <v>2397</v>
      </c>
      <c r="L38" s="116">
        <f t="shared" si="5"/>
        <v>-5.5903212348769292E-2</v>
      </c>
      <c r="M38" s="109">
        <v>2649</v>
      </c>
      <c r="N38" s="116">
        <f t="shared" si="6"/>
        <v>-0.14571536428841073</v>
      </c>
      <c r="O38" s="109">
        <v>3098</v>
      </c>
      <c r="P38" s="116">
        <f t="shared" si="75"/>
        <v>-0.2695287282117495</v>
      </c>
      <c r="Q38" s="116">
        <f t="shared" si="76"/>
        <v>7.7330976579761374E-2</v>
      </c>
      <c r="R38" s="116">
        <f t="shared" si="77"/>
        <v>6.7584480600750937E-2</v>
      </c>
      <c r="S38" s="116">
        <f t="shared" si="78"/>
        <v>9.7464959790104361E-3</v>
      </c>
      <c r="T38" s="116">
        <f t="shared" si="79"/>
        <v>6.2287655719139301E-2</v>
      </c>
      <c r="U38" s="116">
        <f t="shared" si="80"/>
        <v>1.5043320860622073E-2</v>
      </c>
      <c r="V38" s="116">
        <f t="shared" si="81"/>
        <v>6.2298256939961265E-2</v>
      </c>
      <c r="W38" s="116">
        <f t="shared" si="82"/>
        <v>1.5032719639800109E-2</v>
      </c>
      <c r="X38" s="84">
        <v>0.44444444444444442</v>
      </c>
      <c r="Y38" s="84">
        <v>0.24598972922502335</v>
      </c>
      <c r="Z38" s="80"/>
      <c r="AA38" s="140"/>
    </row>
    <row r="39" spans="1:27" s="120" customFormat="1" ht="16.5" customHeight="1" x14ac:dyDescent="0.2">
      <c r="A39" s="73">
        <v>59</v>
      </c>
      <c r="B39" s="45" t="s">
        <v>61</v>
      </c>
      <c r="C39" s="109">
        <v>381</v>
      </c>
      <c r="D39" s="76">
        <v>388</v>
      </c>
      <c r="E39" s="116">
        <f t="shared" si="15"/>
        <v>1.804123711340206E-2</v>
      </c>
      <c r="F39" s="53">
        <v>367</v>
      </c>
      <c r="G39" s="116">
        <f t="shared" si="3"/>
        <v>5.7220708446866483E-2</v>
      </c>
      <c r="H39" s="76">
        <v>381</v>
      </c>
      <c r="I39" s="116">
        <f t="shared" si="4"/>
        <v>1.8372703412073491E-2</v>
      </c>
      <c r="J39" s="76">
        <v>3444</v>
      </c>
      <c r="K39" s="53">
        <v>3500</v>
      </c>
      <c r="L39" s="116">
        <f t="shared" si="5"/>
        <v>-1.6E-2</v>
      </c>
      <c r="M39" s="76">
        <v>4063</v>
      </c>
      <c r="N39" s="116">
        <f t="shared" si="6"/>
        <v>-0.15235047994093034</v>
      </c>
      <c r="O39" s="76">
        <v>4627</v>
      </c>
      <c r="P39" s="116">
        <f t="shared" si="75"/>
        <v>-0.2556732223903177</v>
      </c>
      <c r="Q39" s="116">
        <f t="shared" si="76"/>
        <v>0.11265969802555169</v>
      </c>
      <c r="R39" s="116">
        <f t="shared" si="77"/>
        <v>0.10885714285714286</v>
      </c>
      <c r="S39" s="116">
        <f t="shared" si="78"/>
        <v>3.8025551684088277E-3</v>
      </c>
      <c r="T39" s="116">
        <f t="shared" si="79"/>
        <v>9.0327344326852077E-2</v>
      </c>
      <c r="U39" s="116">
        <f t="shared" si="80"/>
        <v>2.2332353698699611E-2</v>
      </c>
      <c r="V39" s="116">
        <f t="shared" si="81"/>
        <v>8.234277069375405E-2</v>
      </c>
      <c r="W39" s="116">
        <f t="shared" si="82"/>
        <v>3.0316927331797638E-2</v>
      </c>
      <c r="X39" s="84">
        <v>0.40540540540540543</v>
      </c>
      <c r="Y39" s="84">
        <v>0.36180515784289374</v>
      </c>
      <c r="Z39" s="80">
        <v>0.61904761904761907</v>
      </c>
      <c r="AA39" s="140">
        <v>0.50440782211615542</v>
      </c>
    </row>
    <row r="40" spans="1:27" s="120" customFormat="1" ht="16" x14ac:dyDescent="0.2">
      <c r="A40" s="73">
        <v>60</v>
      </c>
      <c r="B40" s="45" t="s">
        <v>62</v>
      </c>
      <c r="C40" s="109">
        <v>343</v>
      </c>
      <c r="D40" s="109">
        <v>361</v>
      </c>
      <c r="E40" s="116">
        <f t="shared" si="15"/>
        <v>4.9861495844875349E-2</v>
      </c>
      <c r="F40" s="53">
        <v>365</v>
      </c>
      <c r="G40" s="116">
        <f t="shared" si="3"/>
        <v>-1.0958904109589041E-2</v>
      </c>
      <c r="H40" s="114">
        <v>363</v>
      </c>
      <c r="I40" s="116">
        <f t="shared" si="4"/>
        <v>-5.5096418732782371E-3</v>
      </c>
      <c r="J40" s="109">
        <v>6265</v>
      </c>
      <c r="K40" s="53">
        <v>6060</v>
      </c>
      <c r="L40" s="116">
        <f t="shared" si="5"/>
        <v>3.3828382838283828E-2</v>
      </c>
      <c r="M40" s="109">
        <v>5873</v>
      </c>
      <c r="N40" s="116">
        <f t="shared" si="6"/>
        <v>6.6746126340882006E-2</v>
      </c>
      <c r="O40" s="109">
        <v>6118</v>
      </c>
      <c r="P40" s="116">
        <f t="shared" si="75"/>
        <v>2.4027459954233409E-2</v>
      </c>
      <c r="Q40" s="116">
        <f t="shared" si="76"/>
        <v>5.762170790103751E-2</v>
      </c>
      <c r="R40" s="116">
        <f t="shared" si="77"/>
        <v>5.66006600660066E-2</v>
      </c>
      <c r="S40" s="116">
        <f t="shared" si="78"/>
        <v>1.0210478350309096E-3</v>
      </c>
      <c r="T40" s="116">
        <f t="shared" si="79"/>
        <v>6.2148816618423294E-2</v>
      </c>
      <c r="U40" s="116">
        <f t="shared" si="80"/>
        <v>-4.5271087173857846E-3</v>
      </c>
      <c r="V40" s="116">
        <f t="shared" si="81"/>
        <v>5.9333115397188621E-2</v>
      </c>
      <c r="W40" s="116">
        <f t="shared" si="82"/>
        <v>-1.7114074961511114E-3</v>
      </c>
      <c r="X40" s="84">
        <v>0.2</v>
      </c>
      <c r="Y40" s="84">
        <v>0.31256361464174504</v>
      </c>
      <c r="Z40" s="80">
        <v>0.63636363636363635</v>
      </c>
      <c r="AA40" s="140">
        <v>0.65251294283552341</v>
      </c>
    </row>
    <row r="41" spans="1:27" s="120" customFormat="1" ht="16" x14ac:dyDescent="0.2">
      <c r="A41" s="73">
        <v>61</v>
      </c>
      <c r="B41" s="45" t="s">
        <v>63</v>
      </c>
      <c r="C41" s="109">
        <v>3679</v>
      </c>
      <c r="D41" s="109">
        <v>3806</v>
      </c>
      <c r="E41" s="116">
        <f t="shared" si="15"/>
        <v>3.3368365738307933E-2</v>
      </c>
      <c r="F41" s="53">
        <v>3140</v>
      </c>
      <c r="G41" s="116">
        <f t="shared" si="3"/>
        <v>0.21210191082802549</v>
      </c>
      <c r="H41" s="109">
        <v>2389</v>
      </c>
      <c r="I41" s="116">
        <f t="shared" si="4"/>
        <v>0.59313520301381328</v>
      </c>
      <c r="J41" s="109">
        <v>19715</v>
      </c>
      <c r="K41" s="53">
        <v>19546</v>
      </c>
      <c r="L41" s="116">
        <f t="shared" si="5"/>
        <v>8.6462703366417676E-3</v>
      </c>
      <c r="M41" s="109">
        <v>20277</v>
      </c>
      <c r="N41" s="116">
        <f t="shared" si="6"/>
        <v>-2.7716131577649555E-2</v>
      </c>
      <c r="O41" s="109">
        <v>21035</v>
      </c>
      <c r="P41" s="116">
        <f t="shared" si="75"/>
        <v>-6.2752555265034468E-2</v>
      </c>
      <c r="Q41" s="116">
        <f t="shared" si="76"/>
        <v>0.19305097641389804</v>
      </c>
      <c r="R41" s="116">
        <f t="shared" si="77"/>
        <v>0.18822265425150925</v>
      </c>
      <c r="S41" s="116">
        <f t="shared" si="78"/>
        <v>4.8283221623887929E-3</v>
      </c>
      <c r="T41" s="116">
        <f t="shared" si="79"/>
        <v>0.15485525472209893</v>
      </c>
      <c r="U41" s="116">
        <f t="shared" si="80"/>
        <v>3.8195721691799106E-2</v>
      </c>
      <c r="V41" s="116">
        <f t="shared" si="81"/>
        <v>0.11357261706679343</v>
      </c>
      <c r="W41" s="116">
        <f t="shared" si="82"/>
        <v>7.9478359347104607E-2</v>
      </c>
      <c r="X41" s="84">
        <v>0.22099447513812154</v>
      </c>
      <c r="Y41" s="117">
        <v>0.22680445066569649</v>
      </c>
      <c r="Z41" s="80">
        <v>0.44727272727272727</v>
      </c>
      <c r="AA41" s="140">
        <v>0.43257614727874577</v>
      </c>
    </row>
    <row r="42" spans="1:27" s="120" customFormat="1" ht="16" x14ac:dyDescent="0.2">
      <c r="A42" s="73">
        <v>62</v>
      </c>
      <c r="B42" s="45" t="s">
        <v>64</v>
      </c>
      <c r="C42" s="109">
        <v>1124</v>
      </c>
      <c r="D42" s="109">
        <v>1237</v>
      </c>
      <c r="E42" s="116">
        <f t="shared" si="15"/>
        <v>9.135004042037187E-2</v>
      </c>
      <c r="F42" s="53">
        <v>846</v>
      </c>
      <c r="G42" s="116">
        <f t="shared" si="3"/>
        <v>0.46217494089834515</v>
      </c>
      <c r="H42" s="109">
        <v>475</v>
      </c>
      <c r="I42" s="116">
        <f t="shared" si="4"/>
        <v>1.6042105263157895</v>
      </c>
      <c r="J42" s="109">
        <v>10222</v>
      </c>
      <c r="K42" s="53">
        <v>9825</v>
      </c>
      <c r="L42" s="116">
        <f t="shared" si="5"/>
        <v>4.0407124681933845E-2</v>
      </c>
      <c r="M42" s="109">
        <v>9457</v>
      </c>
      <c r="N42" s="116">
        <f t="shared" si="6"/>
        <v>8.0892460611187475E-2</v>
      </c>
      <c r="O42" s="109">
        <v>9186</v>
      </c>
      <c r="P42" s="116">
        <f t="shared" si="75"/>
        <v>0.11278031787502721</v>
      </c>
      <c r="Q42" s="116">
        <f t="shared" si="76"/>
        <v>0.12101350029348464</v>
      </c>
      <c r="R42" s="116">
        <f t="shared" si="77"/>
        <v>0.11440203562340967</v>
      </c>
      <c r="S42" s="116">
        <f t="shared" si="78"/>
        <v>6.6114646700749652E-3</v>
      </c>
      <c r="T42" s="116">
        <f t="shared" si="79"/>
        <v>8.9457544675901446E-2</v>
      </c>
      <c r="U42" s="116">
        <f t="shared" si="80"/>
        <v>3.155595561758319E-2</v>
      </c>
      <c r="V42" s="116">
        <f t="shared" si="81"/>
        <v>5.1709122577835838E-2</v>
      </c>
      <c r="W42" s="116">
        <f t="shared" si="82"/>
        <v>6.9304377715648791E-2</v>
      </c>
      <c r="X42" s="84">
        <v>0.25714285714285712</v>
      </c>
      <c r="Y42" s="84">
        <v>0.19726562220204474</v>
      </c>
      <c r="Z42" s="80">
        <v>0.24</v>
      </c>
      <c r="AA42" s="140">
        <v>0.30750496031746033</v>
      </c>
    </row>
    <row r="43" spans="1:27" s="120" customFormat="1" ht="16" x14ac:dyDescent="0.2">
      <c r="A43" s="73">
        <v>63</v>
      </c>
      <c r="B43" s="45" t="s">
        <v>65</v>
      </c>
      <c r="C43" s="109">
        <v>903</v>
      </c>
      <c r="D43" s="109">
        <v>904</v>
      </c>
      <c r="E43" s="116">
        <f t="shared" si="15"/>
        <v>1.1061946902654867E-3</v>
      </c>
      <c r="F43" s="53">
        <v>892</v>
      </c>
      <c r="G43" s="116">
        <f t="shared" si="3"/>
        <v>1.3452914798206279E-2</v>
      </c>
      <c r="H43" s="109">
        <v>811</v>
      </c>
      <c r="I43" s="116">
        <f t="shared" si="4"/>
        <v>0.11467324290998766</v>
      </c>
      <c r="J43" s="109">
        <v>8914</v>
      </c>
      <c r="K43" s="53">
        <v>9185</v>
      </c>
      <c r="L43" s="116">
        <f t="shared" si="5"/>
        <v>-2.9504627109417529E-2</v>
      </c>
      <c r="M43" s="109">
        <v>9713</v>
      </c>
      <c r="N43" s="116">
        <f t="shared" si="6"/>
        <v>-8.2260887470400501E-2</v>
      </c>
      <c r="O43" s="109">
        <v>9017</v>
      </c>
      <c r="P43" s="116">
        <f t="shared" si="75"/>
        <v>-1.1422867916158368E-2</v>
      </c>
      <c r="Q43" s="116">
        <f t="shared" si="76"/>
        <v>0.10141350684316805</v>
      </c>
      <c r="R43" s="116">
        <f t="shared" si="77"/>
        <v>9.8312465977136637E-2</v>
      </c>
      <c r="S43" s="116">
        <f t="shared" si="78"/>
        <v>3.1010408660314126E-3</v>
      </c>
      <c r="T43" s="116">
        <f t="shared" si="79"/>
        <v>9.1835684134664877E-2</v>
      </c>
      <c r="U43" s="116">
        <f t="shared" si="80"/>
        <v>9.5778227085031725E-3</v>
      </c>
      <c r="V43" s="116">
        <f t="shared" si="81"/>
        <v>8.9941222135965393E-2</v>
      </c>
      <c r="W43" s="116">
        <f t="shared" si="82"/>
        <v>1.1472284707202657E-2</v>
      </c>
      <c r="X43" s="133">
        <v>0.12820512820512819</v>
      </c>
      <c r="Y43" s="134">
        <v>0.11074654963199855</v>
      </c>
      <c r="Z43" s="80"/>
      <c r="AA43" s="140">
        <v>0.38073495032144944</v>
      </c>
    </row>
    <row r="44" spans="1:27" s="120" customFormat="1" ht="16" x14ac:dyDescent="0.2">
      <c r="A44" s="73">
        <v>64</v>
      </c>
      <c r="B44" s="45" t="s">
        <v>66</v>
      </c>
      <c r="C44" s="109">
        <v>175</v>
      </c>
      <c r="D44" s="76">
        <v>141</v>
      </c>
      <c r="E44" s="116">
        <f t="shared" si="15"/>
        <v>-0.24113475177304963</v>
      </c>
      <c r="F44" s="53">
        <v>124</v>
      </c>
      <c r="G44" s="116">
        <f t="shared" si="3"/>
        <v>0.13709677419354838</v>
      </c>
      <c r="H44" s="76">
        <v>147</v>
      </c>
      <c r="I44" s="116">
        <f t="shared" si="4"/>
        <v>-4.0816326530612242E-2</v>
      </c>
      <c r="J44" s="109">
        <v>1779</v>
      </c>
      <c r="K44" s="53">
        <v>1715</v>
      </c>
      <c r="L44" s="116">
        <f t="shared" si="5"/>
        <v>3.7317784256559766E-2</v>
      </c>
      <c r="M44" s="109">
        <v>1610</v>
      </c>
      <c r="N44" s="116">
        <f t="shared" si="6"/>
        <v>0.10496894409937889</v>
      </c>
      <c r="O44" s="109">
        <v>1739</v>
      </c>
      <c r="P44" s="116">
        <f t="shared" si="75"/>
        <v>2.3001725129384705E-2</v>
      </c>
      <c r="Q44" s="116">
        <f t="shared" si="76"/>
        <v>7.9258010118043842E-2</v>
      </c>
      <c r="R44" s="116">
        <f t="shared" si="77"/>
        <v>0.10204081632653061</v>
      </c>
      <c r="S44" s="116">
        <f t="shared" si="78"/>
        <v>-2.2782806208486772E-2</v>
      </c>
      <c r="T44" s="116">
        <f t="shared" si="79"/>
        <v>7.7018633540372666E-2</v>
      </c>
      <c r="U44" s="116">
        <f t="shared" si="80"/>
        <v>2.239376577671176E-3</v>
      </c>
      <c r="V44" s="116">
        <f t="shared" si="81"/>
        <v>8.4531339850488788E-2</v>
      </c>
      <c r="W44" s="116">
        <f t="shared" si="82"/>
        <v>-5.2733297324449452E-3</v>
      </c>
      <c r="X44" s="100"/>
      <c r="Y44" s="100"/>
      <c r="Z44" s="80"/>
      <c r="AA44" s="140"/>
    </row>
    <row r="45" spans="1:27" s="120" customFormat="1" ht="16" x14ac:dyDescent="0.2">
      <c r="A45" s="73">
        <v>67</v>
      </c>
      <c r="B45" s="45" t="s">
        <v>67</v>
      </c>
      <c r="C45" s="109">
        <v>662</v>
      </c>
      <c r="D45" s="109">
        <v>654</v>
      </c>
      <c r="E45" s="116">
        <f t="shared" si="15"/>
        <v>-1.2232415902140673E-2</v>
      </c>
      <c r="F45" s="53">
        <v>637</v>
      </c>
      <c r="G45" s="116">
        <f t="shared" si="3"/>
        <v>2.6687598116169546E-2</v>
      </c>
      <c r="H45" s="109">
        <v>498</v>
      </c>
      <c r="I45" s="116">
        <f t="shared" si="4"/>
        <v>0.31325301204819278</v>
      </c>
      <c r="J45" s="109">
        <v>5743</v>
      </c>
      <c r="K45" s="53">
        <v>5757</v>
      </c>
      <c r="L45" s="116">
        <f t="shared" si="5"/>
        <v>-2.4318221295813792E-3</v>
      </c>
      <c r="M45" s="109">
        <v>6354</v>
      </c>
      <c r="N45" s="116">
        <f t="shared" si="6"/>
        <v>-9.6159899276046581E-2</v>
      </c>
      <c r="O45" s="109">
        <v>7261</v>
      </c>
      <c r="P45" s="116">
        <f t="shared" si="75"/>
        <v>-0.20906211265665886</v>
      </c>
      <c r="Q45" s="116">
        <f t="shared" si="76"/>
        <v>0.11387776423472053</v>
      </c>
      <c r="R45" s="116">
        <f t="shared" si="77"/>
        <v>0.11499044641306236</v>
      </c>
      <c r="S45" s="116">
        <f t="shared" si="78"/>
        <v>-1.1126821783418311E-3</v>
      </c>
      <c r="T45" s="116">
        <f t="shared" si="79"/>
        <v>0.10025180988353793</v>
      </c>
      <c r="U45" s="116">
        <f t="shared" si="80"/>
        <v>1.3625954351182593E-2</v>
      </c>
      <c r="V45" s="116">
        <f t="shared" si="81"/>
        <v>6.8585594270761607E-2</v>
      </c>
      <c r="W45" s="116">
        <f t="shared" si="82"/>
        <v>4.529216996395892E-2</v>
      </c>
      <c r="X45" s="100"/>
      <c r="Y45" s="100"/>
      <c r="Z45" s="80">
        <v>0.46363636363636362</v>
      </c>
      <c r="AA45" s="140">
        <v>0.4064656146782446</v>
      </c>
    </row>
    <row r="46" spans="1:27" s="120" customFormat="1" ht="16" x14ac:dyDescent="0.2">
      <c r="A46" s="73">
        <v>68</v>
      </c>
      <c r="B46" s="45" t="s">
        <v>68</v>
      </c>
      <c r="C46" s="109">
        <v>1435</v>
      </c>
      <c r="D46" s="76">
        <v>1513</v>
      </c>
      <c r="E46" s="116">
        <f t="shared" si="15"/>
        <v>5.1553205551883675E-2</v>
      </c>
      <c r="F46" s="53">
        <v>1267</v>
      </c>
      <c r="G46" s="116">
        <f t="shared" si="3"/>
        <v>0.19415943172849251</v>
      </c>
      <c r="H46" s="76">
        <v>1015</v>
      </c>
      <c r="I46" s="116">
        <f t="shared" si="4"/>
        <v>0.49064039408866994</v>
      </c>
      <c r="J46" s="109">
        <v>13660</v>
      </c>
      <c r="K46" s="53">
        <v>13708</v>
      </c>
      <c r="L46" s="116">
        <f t="shared" si="5"/>
        <v>-3.5016049022468633E-3</v>
      </c>
      <c r="M46" s="109">
        <v>14258</v>
      </c>
      <c r="N46" s="116">
        <f t="shared" si="6"/>
        <v>-4.1941366250526017E-2</v>
      </c>
      <c r="O46" s="109">
        <v>15772</v>
      </c>
      <c r="P46" s="116">
        <f t="shared" si="75"/>
        <v>-0.13390819173218363</v>
      </c>
      <c r="Q46" s="116">
        <f t="shared" si="76"/>
        <v>0.11076134699853588</v>
      </c>
      <c r="R46" s="116">
        <f t="shared" si="77"/>
        <v>0.10468339655675518</v>
      </c>
      <c r="S46" s="116">
        <f t="shared" si="78"/>
        <v>6.077950441780694E-3</v>
      </c>
      <c r="T46" s="116">
        <f t="shared" si="79"/>
        <v>8.8862393042502458E-2</v>
      </c>
      <c r="U46" s="116">
        <f t="shared" si="80"/>
        <v>2.1898953956033418E-2</v>
      </c>
      <c r="V46" s="116">
        <f t="shared" si="81"/>
        <v>6.4354552371290896E-2</v>
      </c>
      <c r="W46" s="116">
        <f t="shared" si="82"/>
        <v>4.6406794627244979E-2</v>
      </c>
      <c r="X46" s="100">
        <v>0.14685314685314685</v>
      </c>
      <c r="Y46" s="100">
        <v>0.1788894566198389</v>
      </c>
      <c r="Z46" s="80">
        <v>0.33333333333333331</v>
      </c>
      <c r="AA46" s="140">
        <v>0.39921363672197335</v>
      </c>
    </row>
    <row r="47" spans="1:27" s="120" customFormat="1" ht="16" x14ac:dyDescent="0.2">
      <c r="A47" s="73">
        <v>69</v>
      </c>
      <c r="B47" s="45" t="s">
        <v>69</v>
      </c>
      <c r="C47" s="109">
        <v>376</v>
      </c>
      <c r="D47" s="76">
        <v>385</v>
      </c>
      <c r="E47" s="116">
        <f t="shared" si="15"/>
        <v>2.3376623376623377E-2</v>
      </c>
      <c r="F47" s="53">
        <v>370</v>
      </c>
      <c r="G47" s="116">
        <f t="shared" si="3"/>
        <v>4.0540540540540543E-2</v>
      </c>
      <c r="H47" s="76">
        <v>434</v>
      </c>
      <c r="I47" s="116">
        <f t="shared" si="4"/>
        <v>-0.11290322580645161</v>
      </c>
      <c r="J47" s="109">
        <v>4204</v>
      </c>
      <c r="K47" s="53">
        <v>4097</v>
      </c>
      <c r="L47" s="116">
        <f t="shared" si="5"/>
        <v>2.6116670734683916E-2</v>
      </c>
      <c r="M47" s="109">
        <v>4437</v>
      </c>
      <c r="N47" s="116">
        <f t="shared" si="6"/>
        <v>-5.2512959206671171E-2</v>
      </c>
      <c r="O47" s="109">
        <v>5203</v>
      </c>
      <c r="P47" s="116">
        <f t="shared" si="75"/>
        <v>-0.19200461272342878</v>
      </c>
      <c r="Q47" s="116">
        <f t="shared" si="76"/>
        <v>9.1579448144624168E-2</v>
      </c>
      <c r="R47" s="116">
        <f t="shared" si="77"/>
        <v>9.1774469123749078E-2</v>
      </c>
      <c r="S47" s="116">
        <f t="shared" si="78"/>
        <v>-1.9502097912491023E-4</v>
      </c>
      <c r="T47" s="116">
        <f t="shared" si="79"/>
        <v>8.338967771016452E-2</v>
      </c>
      <c r="U47" s="116">
        <f t="shared" si="80"/>
        <v>8.1897704344596478E-3</v>
      </c>
      <c r="V47" s="116">
        <f t="shared" si="81"/>
        <v>8.3413415337305397E-2</v>
      </c>
      <c r="W47" s="116">
        <f t="shared" si="82"/>
        <v>8.166032807318771E-3</v>
      </c>
      <c r="X47" s="100">
        <v>0.15384615384615385</v>
      </c>
      <c r="Y47" s="100">
        <v>0.19275697185584545</v>
      </c>
      <c r="Z47" s="80">
        <v>0.32558139534883723</v>
      </c>
      <c r="AA47" s="140">
        <v>0.45763909627849753</v>
      </c>
    </row>
    <row r="48" spans="1:27" s="120" customFormat="1" ht="16" x14ac:dyDescent="0.2">
      <c r="A48" s="73">
        <v>70</v>
      </c>
      <c r="B48" s="45" t="s">
        <v>70</v>
      </c>
      <c r="C48" s="109">
        <v>400</v>
      </c>
      <c r="D48" s="109">
        <v>360</v>
      </c>
      <c r="E48" s="116">
        <f t="shared" si="15"/>
        <v>-0.1111111111111111</v>
      </c>
      <c r="F48" s="53">
        <v>357</v>
      </c>
      <c r="G48" s="116">
        <f t="shared" si="3"/>
        <v>8.4033613445378148E-3</v>
      </c>
      <c r="H48" s="109">
        <v>280</v>
      </c>
      <c r="I48" s="116">
        <f t="shared" si="4"/>
        <v>0.2857142857142857</v>
      </c>
      <c r="J48" s="109">
        <v>3856</v>
      </c>
      <c r="K48" s="53">
        <v>3764</v>
      </c>
      <c r="L48" s="116">
        <f t="shared" si="5"/>
        <v>2.4442082890541977E-2</v>
      </c>
      <c r="M48" s="109">
        <v>4224</v>
      </c>
      <c r="N48" s="116">
        <f t="shared" si="6"/>
        <v>-8.7121212121212127E-2</v>
      </c>
      <c r="O48" s="109">
        <v>4820</v>
      </c>
      <c r="P48" s="116">
        <f t="shared" si="75"/>
        <v>-0.2</v>
      </c>
      <c r="Q48" s="116">
        <f t="shared" si="76"/>
        <v>9.3360995850622408E-2</v>
      </c>
      <c r="R48" s="116">
        <f t="shared" si="77"/>
        <v>0.10626992561105207</v>
      </c>
      <c r="S48" s="116">
        <f t="shared" si="78"/>
        <v>-1.2908929760429663E-2</v>
      </c>
      <c r="T48" s="116">
        <f t="shared" si="79"/>
        <v>8.4517045454545456E-2</v>
      </c>
      <c r="U48" s="116">
        <f t="shared" si="80"/>
        <v>8.8439503960769522E-3</v>
      </c>
      <c r="V48" s="116">
        <f t="shared" si="81"/>
        <v>5.8091286307053944E-2</v>
      </c>
      <c r="W48" s="116">
        <f t="shared" si="82"/>
        <v>3.5269709543568464E-2</v>
      </c>
      <c r="X48" s="100">
        <v>0.34146341463414637</v>
      </c>
      <c r="Y48" s="100">
        <v>0.30121321956253622</v>
      </c>
      <c r="Z48" s="80">
        <v>0.6097560975609756</v>
      </c>
      <c r="AA48" s="140">
        <v>0.46871251269448516</v>
      </c>
    </row>
    <row r="49" spans="1:27" s="120" customFormat="1" ht="16" x14ac:dyDescent="0.2">
      <c r="A49" s="73">
        <v>71</v>
      </c>
      <c r="B49" s="45" t="s">
        <v>71</v>
      </c>
      <c r="C49" s="109">
        <v>1154</v>
      </c>
      <c r="D49" s="109">
        <v>1150</v>
      </c>
      <c r="E49" s="116">
        <f t="shared" si="15"/>
        <v>-3.4782608695652175E-3</v>
      </c>
      <c r="F49" s="53">
        <v>1015</v>
      </c>
      <c r="G49" s="116">
        <f t="shared" si="3"/>
        <v>0.13300492610837439</v>
      </c>
      <c r="H49" s="109">
        <v>715</v>
      </c>
      <c r="I49" s="116">
        <f t="shared" si="4"/>
        <v>0.60839160839160844</v>
      </c>
      <c r="J49" s="109">
        <v>8188</v>
      </c>
      <c r="K49" s="53">
        <v>8597</v>
      </c>
      <c r="L49" s="116">
        <f t="shared" si="5"/>
        <v>-4.7574735372804468E-2</v>
      </c>
      <c r="M49" s="109">
        <v>9960</v>
      </c>
      <c r="N49" s="116">
        <f t="shared" si="6"/>
        <v>-0.17791164658634537</v>
      </c>
      <c r="O49" s="109">
        <v>9677</v>
      </c>
      <c r="P49" s="116">
        <f t="shared" si="75"/>
        <v>-0.15387000103337811</v>
      </c>
      <c r="Q49" s="116">
        <f t="shared" si="76"/>
        <v>0.1404494382022472</v>
      </c>
      <c r="R49" s="116">
        <f t="shared" si="77"/>
        <v>0.13423287193206931</v>
      </c>
      <c r="S49" s="116">
        <f t="shared" si="78"/>
        <v>6.2165662701778868E-3</v>
      </c>
      <c r="T49" s="116">
        <f t="shared" si="79"/>
        <v>0.10190763052208836</v>
      </c>
      <c r="U49" s="116">
        <f t="shared" si="80"/>
        <v>3.8541807680158843E-2</v>
      </c>
      <c r="V49" s="116">
        <f t="shared" si="81"/>
        <v>7.3886535083186933E-2</v>
      </c>
      <c r="W49" s="116">
        <f t="shared" si="82"/>
        <v>6.6562903119060268E-2</v>
      </c>
      <c r="X49" s="100">
        <v>0.14942528735632185</v>
      </c>
      <c r="Y49" s="100">
        <v>0.18775990051334487</v>
      </c>
      <c r="Z49" s="80">
        <v>0.20224719101123595</v>
      </c>
      <c r="AA49" s="140">
        <v>0.2029669394276136</v>
      </c>
    </row>
    <row r="50" spans="1:27" s="120" customFormat="1" ht="16" x14ac:dyDescent="0.2">
      <c r="A50" s="73">
        <v>72</v>
      </c>
      <c r="B50" s="45" t="s">
        <v>72</v>
      </c>
      <c r="C50" s="109">
        <v>842</v>
      </c>
      <c r="D50" s="109">
        <v>826</v>
      </c>
      <c r="E50" s="116">
        <f t="shared" si="15"/>
        <v>-1.9370460048426151E-2</v>
      </c>
      <c r="F50" s="53">
        <v>775</v>
      </c>
      <c r="G50" s="116">
        <f t="shared" si="3"/>
        <v>6.580645161290323E-2</v>
      </c>
      <c r="H50" s="109">
        <v>740</v>
      </c>
      <c r="I50" s="116">
        <f t="shared" si="4"/>
        <v>0.11621621621621622</v>
      </c>
      <c r="J50" s="109">
        <v>5257</v>
      </c>
      <c r="K50" s="53">
        <v>5188</v>
      </c>
      <c r="L50" s="116">
        <f t="shared" si="5"/>
        <v>1.3299922898997688E-2</v>
      </c>
      <c r="M50" s="109">
        <v>5441</v>
      </c>
      <c r="N50" s="116">
        <f t="shared" si="6"/>
        <v>-3.3817312993934937E-2</v>
      </c>
      <c r="O50" s="109">
        <v>6350</v>
      </c>
      <c r="P50" s="116">
        <f t="shared" si="75"/>
        <v>-0.17212598425196851</v>
      </c>
      <c r="Q50" s="116">
        <f t="shared" si="76"/>
        <v>0.15712383488681758</v>
      </c>
      <c r="R50" s="116">
        <f t="shared" si="77"/>
        <v>0.1622976098689283</v>
      </c>
      <c r="S50" s="116">
        <f t="shared" si="78"/>
        <v>-5.1737749821107182E-3</v>
      </c>
      <c r="T50" s="116">
        <f t="shared" si="79"/>
        <v>0.14243705201249771</v>
      </c>
      <c r="U50" s="116">
        <f t="shared" si="80"/>
        <v>1.4686782874319876E-2</v>
      </c>
      <c r="V50" s="116">
        <f t="shared" si="81"/>
        <v>0.11653543307086614</v>
      </c>
      <c r="W50" s="116">
        <f t="shared" si="82"/>
        <v>4.0588401815951441E-2</v>
      </c>
      <c r="X50" s="100">
        <v>0.27272727272727271</v>
      </c>
      <c r="Y50" s="100">
        <v>0.26437896098913044</v>
      </c>
      <c r="Z50" s="80">
        <v>0.32894736842105265</v>
      </c>
      <c r="AA50" s="140">
        <v>0.36934356665459306</v>
      </c>
    </row>
    <row r="51" spans="1:27" s="120" customFormat="1" ht="16" x14ac:dyDescent="0.2">
      <c r="A51" s="73">
        <v>73</v>
      </c>
      <c r="B51" s="45" t="s">
        <v>73</v>
      </c>
      <c r="C51" s="109">
        <v>1172</v>
      </c>
      <c r="D51" s="109">
        <v>1207</v>
      </c>
      <c r="E51" s="116">
        <f t="shared" si="15"/>
        <v>2.8997514498757249E-2</v>
      </c>
      <c r="F51" s="53">
        <v>1031</v>
      </c>
      <c r="G51" s="116">
        <f t="shared" si="3"/>
        <v>0.17070805043646944</v>
      </c>
      <c r="H51" s="109">
        <v>846</v>
      </c>
      <c r="I51" s="116">
        <f t="shared" si="4"/>
        <v>0.42671394799054374</v>
      </c>
      <c r="J51" s="109">
        <v>14408</v>
      </c>
      <c r="K51" s="53">
        <v>14504</v>
      </c>
      <c r="L51" s="116">
        <f t="shared" si="5"/>
        <v>-6.6188637617209042E-3</v>
      </c>
      <c r="M51" s="109">
        <v>15121</v>
      </c>
      <c r="N51" s="116">
        <f t="shared" si="6"/>
        <v>-4.7152966073672378E-2</v>
      </c>
      <c r="O51" s="109">
        <v>15509</v>
      </c>
      <c r="P51" s="116">
        <f t="shared" si="75"/>
        <v>-7.0991037462118767E-2</v>
      </c>
      <c r="Q51" s="116">
        <f t="shared" si="76"/>
        <v>8.3772903942254298E-2</v>
      </c>
      <c r="R51" s="116">
        <f t="shared" si="77"/>
        <v>8.080529509100938E-2</v>
      </c>
      <c r="S51" s="116">
        <f t="shared" si="78"/>
        <v>2.9676088512449184E-3</v>
      </c>
      <c r="T51" s="116">
        <f t="shared" si="79"/>
        <v>6.8183321208914752E-2</v>
      </c>
      <c r="U51" s="116">
        <f t="shared" si="80"/>
        <v>1.5589582733339546E-2</v>
      </c>
      <c r="V51" s="116">
        <f t="shared" si="81"/>
        <v>5.4548971564897804E-2</v>
      </c>
      <c r="W51" s="116">
        <f t="shared" si="82"/>
        <v>2.9223932377356494E-2</v>
      </c>
      <c r="X51" s="84">
        <v>0.04</v>
      </c>
      <c r="Y51" s="84">
        <v>0.10544733736669221</v>
      </c>
      <c r="Z51" s="80">
        <v>0.14772727272727273</v>
      </c>
      <c r="AA51" s="140">
        <v>0.10861857519327807</v>
      </c>
    </row>
    <row r="52" spans="1:27" s="131" customFormat="1" ht="16" x14ac:dyDescent="0.2">
      <c r="A52" s="81">
        <v>74</v>
      </c>
      <c r="B52" s="59" t="s">
        <v>15</v>
      </c>
      <c r="C52" s="111"/>
      <c r="D52" s="111"/>
      <c r="E52" s="128"/>
      <c r="F52" s="128"/>
      <c r="G52" s="128"/>
      <c r="H52" s="111"/>
      <c r="I52" s="128"/>
      <c r="J52" s="86"/>
      <c r="K52" s="128"/>
      <c r="L52" s="128"/>
      <c r="M52" s="111"/>
      <c r="N52" s="128"/>
      <c r="O52" s="111"/>
      <c r="P52" s="128"/>
      <c r="Q52" s="128"/>
      <c r="R52" s="128"/>
      <c r="S52" s="128"/>
      <c r="T52" s="128"/>
      <c r="U52" s="128"/>
      <c r="V52" s="128"/>
      <c r="W52" s="128"/>
      <c r="X52" s="67"/>
      <c r="Y52" s="67"/>
      <c r="Z52" s="65"/>
      <c r="AA52" s="144"/>
    </row>
    <row r="53" spans="1:27" s="120" customFormat="1" ht="16" x14ac:dyDescent="0.2">
      <c r="A53" s="73">
        <v>75</v>
      </c>
      <c r="B53" s="45" t="s">
        <v>74</v>
      </c>
      <c r="C53" s="109">
        <v>468</v>
      </c>
      <c r="D53" s="109">
        <v>486</v>
      </c>
      <c r="E53" s="116">
        <f t="shared" si="15"/>
        <v>3.7037037037037035E-2</v>
      </c>
      <c r="F53" s="53">
        <v>457</v>
      </c>
      <c r="G53" s="116">
        <f t="shared" si="3"/>
        <v>6.3457330415754923E-2</v>
      </c>
      <c r="H53" s="109">
        <v>445</v>
      </c>
      <c r="I53" s="116">
        <f t="shared" si="4"/>
        <v>9.2134831460674152E-2</v>
      </c>
      <c r="J53" s="109">
        <v>6027</v>
      </c>
      <c r="K53" s="53">
        <v>5978</v>
      </c>
      <c r="L53" s="116">
        <f t="shared" si="5"/>
        <v>8.1967213114754103E-3</v>
      </c>
      <c r="M53" s="109">
        <v>6413</v>
      </c>
      <c r="N53" s="116">
        <f t="shared" si="6"/>
        <v>-6.0190238577888661E-2</v>
      </c>
      <c r="O53" s="109">
        <v>7328</v>
      </c>
      <c r="P53" s="116">
        <f t="shared" si="75"/>
        <v>-0.17753820960698691</v>
      </c>
      <c r="Q53" s="116">
        <f t="shared" si="76"/>
        <v>8.0637132901941258E-2</v>
      </c>
      <c r="R53" s="116">
        <f t="shared" si="77"/>
        <v>7.8287052525928408E-2</v>
      </c>
      <c r="S53" s="116">
        <f t="shared" si="78"/>
        <v>2.3500803760128502E-3</v>
      </c>
      <c r="T53" s="116">
        <f t="shared" si="79"/>
        <v>7.1261500077966625E-2</v>
      </c>
      <c r="U53" s="116">
        <f t="shared" si="80"/>
        <v>9.3756328239746334E-3</v>
      </c>
      <c r="V53" s="116">
        <f t="shared" si="81"/>
        <v>6.0725982532751091E-2</v>
      </c>
      <c r="W53" s="116">
        <f t="shared" si="82"/>
        <v>1.9911150369190167E-2</v>
      </c>
      <c r="X53" s="84">
        <v>0.39285714285714285</v>
      </c>
      <c r="Y53" s="84">
        <v>0.35678742893038218</v>
      </c>
      <c r="Z53" s="80">
        <v>0.69230769230769229</v>
      </c>
      <c r="AA53" s="140">
        <v>0.55185103317287221</v>
      </c>
    </row>
    <row r="54" spans="1:27" s="120" customFormat="1" ht="16" x14ac:dyDescent="0.2">
      <c r="A54" s="73">
        <v>78</v>
      </c>
      <c r="B54" s="45" t="s">
        <v>9</v>
      </c>
      <c r="C54" s="85"/>
      <c r="D54" s="109"/>
      <c r="E54" s="116"/>
      <c r="F54" s="116"/>
      <c r="G54" s="116"/>
      <c r="H54" s="109"/>
      <c r="I54" s="116"/>
      <c r="J54" s="109"/>
      <c r="K54" s="116"/>
      <c r="L54" s="116"/>
      <c r="M54" s="109"/>
      <c r="N54" s="116"/>
      <c r="O54" s="109"/>
      <c r="P54" s="116"/>
      <c r="Q54" s="116"/>
      <c r="R54" s="116"/>
      <c r="S54" s="116"/>
      <c r="T54" s="116"/>
      <c r="U54" s="116"/>
      <c r="V54" s="116"/>
      <c r="W54" s="116"/>
      <c r="X54" s="84"/>
      <c r="Y54" s="84"/>
      <c r="Z54" s="80"/>
      <c r="AA54" s="141"/>
    </row>
    <row r="55" spans="1:27" s="120" customFormat="1" ht="16" x14ac:dyDescent="0.2">
      <c r="A55" s="73">
        <v>79</v>
      </c>
      <c r="B55" s="45" t="s">
        <v>75</v>
      </c>
      <c r="C55" s="109">
        <v>966</v>
      </c>
      <c r="D55" s="76">
        <v>1004</v>
      </c>
      <c r="E55" s="116">
        <f t="shared" si="15"/>
        <v>3.7848605577689244E-2</v>
      </c>
      <c r="F55" s="53">
        <v>765</v>
      </c>
      <c r="G55" s="116">
        <f t="shared" si="3"/>
        <v>0.31241830065359477</v>
      </c>
      <c r="H55" s="76">
        <v>554</v>
      </c>
      <c r="I55" s="116">
        <f t="shared" si="4"/>
        <v>0.81227436823104693</v>
      </c>
      <c r="J55" s="109">
        <v>7606</v>
      </c>
      <c r="K55" s="53">
        <v>7587</v>
      </c>
      <c r="L55" s="116">
        <f t="shared" si="5"/>
        <v>2.5042836430736785E-3</v>
      </c>
      <c r="M55" s="109">
        <v>8392</v>
      </c>
      <c r="N55" s="116">
        <f t="shared" si="6"/>
        <v>-9.3660629170638707E-2</v>
      </c>
      <c r="O55" s="109">
        <v>9788</v>
      </c>
      <c r="P55" s="116">
        <f t="shared" si="75"/>
        <v>-0.22292603187576623</v>
      </c>
      <c r="Q55" s="116">
        <f t="shared" si="76"/>
        <v>0.13200105180120958</v>
      </c>
      <c r="R55" s="116">
        <f t="shared" si="77"/>
        <v>0.12732305258995649</v>
      </c>
      <c r="S55" s="116">
        <f t="shared" si="78"/>
        <v>4.6779992112530866E-3</v>
      </c>
      <c r="T55" s="116">
        <f t="shared" si="79"/>
        <v>9.1158245948522398E-2</v>
      </c>
      <c r="U55" s="116">
        <f t="shared" si="80"/>
        <v>4.0842805852687181E-2</v>
      </c>
      <c r="V55" s="116">
        <f t="shared" si="81"/>
        <v>5.6599918267266042E-2</v>
      </c>
      <c r="W55" s="116">
        <f t="shared" si="82"/>
        <v>7.5401133533943537E-2</v>
      </c>
      <c r="X55" s="84">
        <v>0.24175824175824176</v>
      </c>
      <c r="Y55" s="84">
        <v>0.17904870381276339</v>
      </c>
      <c r="Z55" s="80">
        <v>0.5490196078431373</v>
      </c>
      <c r="AA55" s="140">
        <v>0.47260208170380463</v>
      </c>
    </row>
    <row r="56" spans="1:27" s="120" customFormat="1" ht="16" x14ac:dyDescent="0.2">
      <c r="A56" s="73">
        <v>81</v>
      </c>
      <c r="B56" s="45" t="s">
        <v>7</v>
      </c>
      <c r="C56" s="109"/>
      <c r="D56" s="109"/>
      <c r="E56" s="116"/>
      <c r="F56" s="116"/>
      <c r="G56" s="116"/>
      <c r="H56" s="109"/>
      <c r="I56" s="116"/>
      <c r="J56" s="109"/>
      <c r="K56" s="116"/>
      <c r="L56" s="116"/>
      <c r="M56" s="109"/>
      <c r="N56" s="116"/>
      <c r="O56" s="109"/>
      <c r="P56" s="116"/>
      <c r="Q56" s="116"/>
      <c r="R56" s="116"/>
      <c r="S56" s="116"/>
      <c r="T56" s="116"/>
      <c r="U56" s="116"/>
      <c r="V56" s="116"/>
      <c r="W56" s="116"/>
      <c r="X56" s="84"/>
      <c r="Y56" s="84"/>
      <c r="Z56" s="80"/>
      <c r="AA56" s="141"/>
    </row>
    <row r="57" spans="1:27" s="120" customFormat="1" ht="16" x14ac:dyDescent="0.2">
      <c r="A57" s="73">
        <v>82</v>
      </c>
      <c r="B57" s="45" t="s">
        <v>76</v>
      </c>
      <c r="C57" s="109">
        <v>421</v>
      </c>
      <c r="D57" s="109">
        <v>410</v>
      </c>
      <c r="E57" s="116">
        <f t="shared" si="15"/>
        <v>-2.6829268292682926E-2</v>
      </c>
      <c r="F57" s="53">
        <v>353</v>
      </c>
      <c r="G57" s="116">
        <f t="shared" si="3"/>
        <v>0.16147308781869688</v>
      </c>
      <c r="H57" s="114" t="s">
        <v>85</v>
      </c>
      <c r="I57" s="116"/>
      <c r="J57" s="109">
        <v>4396</v>
      </c>
      <c r="K57" s="53">
        <v>4802</v>
      </c>
      <c r="L57" s="116">
        <f t="shared" si="5"/>
        <v>-8.4548104956268216E-2</v>
      </c>
      <c r="M57" s="109">
        <v>5380</v>
      </c>
      <c r="N57" s="116">
        <f t="shared" si="6"/>
        <v>-0.1828996282527881</v>
      </c>
      <c r="O57" s="109">
        <v>6038</v>
      </c>
      <c r="P57" s="116">
        <f t="shared" si="75"/>
        <v>-0.27194435243458098</v>
      </c>
      <c r="Q57" s="116">
        <f t="shared" si="76"/>
        <v>9.326660600545951E-2</v>
      </c>
      <c r="R57" s="116">
        <f t="shared" si="77"/>
        <v>8.7671803415243652E-2</v>
      </c>
      <c r="S57" s="116">
        <f t="shared" si="78"/>
        <v>5.5948025902158582E-3</v>
      </c>
      <c r="T57" s="116">
        <f t="shared" si="79"/>
        <v>6.5613382899628259E-2</v>
      </c>
      <c r="U57" s="116">
        <f t="shared" si="80"/>
        <v>2.7653223105831251E-2</v>
      </c>
      <c r="V57" s="116"/>
      <c r="W57" s="116"/>
      <c r="X57" s="84">
        <v>0.2558139534883721</v>
      </c>
      <c r="Y57" s="84">
        <v>0.22998346818082238</v>
      </c>
      <c r="Z57" s="80">
        <v>0.23529411764705882</v>
      </c>
      <c r="AA57" s="140">
        <v>0.30379283026341852</v>
      </c>
    </row>
    <row r="58" spans="1:27" s="120" customFormat="1" ht="16" x14ac:dyDescent="0.2">
      <c r="A58" s="73">
        <v>83</v>
      </c>
      <c r="B58" s="45" t="s">
        <v>77</v>
      </c>
      <c r="C58" s="109">
        <v>756</v>
      </c>
      <c r="D58" s="109">
        <v>764</v>
      </c>
      <c r="E58" s="116">
        <f t="shared" si="15"/>
        <v>1.0471204188481676E-2</v>
      </c>
      <c r="F58" s="53">
        <v>630</v>
      </c>
      <c r="G58" s="116">
        <f t="shared" si="3"/>
        <v>0.21269841269841269</v>
      </c>
      <c r="H58" s="109">
        <v>303</v>
      </c>
      <c r="I58" s="116">
        <f t="shared" si="4"/>
        <v>1.5214521452145215</v>
      </c>
      <c r="J58" s="109">
        <v>5866</v>
      </c>
      <c r="K58" s="53">
        <v>5818</v>
      </c>
      <c r="L58" s="116">
        <f t="shared" si="5"/>
        <v>8.250257820556892E-3</v>
      </c>
      <c r="M58" s="109">
        <v>6989</v>
      </c>
      <c r="N58" s="116">
        <f t="shared" si="6"/>
        <v>-0.16068107025325512</v>
      </c>
      <c r="O58" s="109">
        <v>7875</v>
      </c>
      <c r="P58" s="116">
        <f t="shared" si="75"/>
        <v>-0.25511111111111112</v>
      </c>
      <c r="Q58" s="116">
        <f t="shared" si="76"/>
        <v>0.13024207296283669</v>
      </c>
      <c r="R58" s="116">
        <f t="shared" si="77"/>
        <v>0.12994156067377105</v>
      </c>
      <c r="S58" s="116">
        <f t="shared" si="78"/>
        <v>3.0051228906563532E-4</v>
      </c>
      <c r="T58" s="116">
        <f t="shared" si="79"/>
        <v>9.0141651166118192E-2</v>
      </c>
      <c r="U58" s="116">
        <f t="shared" si="80"/>
        <v>4.0100421796718494E-2</v>
      </c>
      <c r="V58" s="116">
        <f t="shared" si="81"/>
        <v>3.8476190476190476E-2</v>
      </c>
      <c r="W58" s="116">
        <f t="shared" si="82"/>
        <v>9.1765882486646216E-2</v>
      </c>
      <c r="X58" s="84">
        <v>0.1111111111111111</v>
      </c>
      <c r="Y58" s="84">
        <v>1.4646464646464647E-2</v>
      </c>
      <c r="Z58" s="80">
        <v>0.23456790123456789</v>
      </c>
      <c r="AA58" s="140">
        <v>0.24757157632974625</v>
      </c>
    </row>
    <row r="59" spans="1:27" s="120" customFormat="1" ht="16" x14ac:dyDescent="0.2">
      <c r="A59" s="73">
        <v>84</v>
      </c>
      <c r="B59" s="45" t="s">
        <v>11</v>
      </c>
      <c r="C59" s="109"/>
      <c r="D59" s="109"/>
      <c r="E59" s="116"/>
      <c r="F59" s="116"/>
      <c r="G59" s="116"/>
      <c r="H59" s="109"/>
      <c r="I59" s="116"/>
      <c r="J59" s="109"/>
      <c r="K59" s="116"/>
      <c r="L59" s="116"/>
      <c r="M59" s="109"/>
      <c r="N59" s="116"/>
      <c r="O59" s="109"/>
      <c r="P59" s="116"/>
      <c r="Q59" s="116"/>
      <c r="R59" s="116"/>
      <c r="S59" s="116"/>
      <c r="T59" s="116"/>
      <c r="U59" s="116"/>
      <c r="V59" s="116"/>
      <c r="W59" s="116"/>
      <c r="X59" s="84"/>
      <c r="Y59" s="84"/>
      <c r="Z59" s="80"/>
      <c r="AA59" s="141"/>
    </row>
    <row r="60" spans="1:27" s="120" customFormat="1" ht="16" x14ac:dyDescent="0.2">
      <c r="A60" s="73">
        <v>85</v>
      </c>
      <c r="B60" s="45" t="s">
        <v>12</v>
      </c>
      <c r="C60" s="109"/>
      <c r="D60" s="109"/>
      <c r="E60" s="116"/>
      <c r="F60" s="116"/>
      <c r="G60" s="116"/>
      <c r="H60" s="109"/>
      <c r="I60" s="116"/>
      <c r="J60" s="109"/>
      <c r="K60" s="116"/>
      <c r="L60" s="116"/>
      <c r="M60" s="109"/>
      <c r="N60" s="116"/>
      <c r="O60" s="109"/>
      <c r="P60" s="116"/>
      <c r="Q60" s="116"/>
      <c r="R60" s="116"/>
      <c r="S60" s="116"/>
      <c r="T60" s="116"/>
      <c r="U60" s="116"/>
      <c r="V60" s="116"/>
      <c r="W60" s="116"/>
      <c r="X60" s="84"/>
      <c r="Y60" s="84"/>
      <c r="Z60" s="80"/>
      <c r="AA60" s="141"/>
    </row>
    <row r="61" spans="1:27" s="120" customFormat="1" ht="16" x14ac:dyDescent="0.2">
      <c r="A61" s="73">
        <v>87</v>
      </c>
      <c r="B61" s="45" t="s">
        <v>8</v>
      </c>
      <c r="C61" s="109"/>
      <c r="D61" s="109"/>
      <c r="E61" s="116"/>
      <c r="F61" s="116"/>
      <c r="G61" s="116"/>
      <c r="H61" s="109"/>
      <c r="I61" s="116"/>
      <c r="J61" s="109"/>
      <c r="K61" s="116"/>
      <c r="L61" s="116"/>
      <c r="M61" s="109"/>
      <c r="N61" s="116"/>
      <c r="O61" s="109"/>
      <c r="P61" s="116"/>
      <c r="Q61" s="116"/>
      <c r="R61" s="116"/>
      <c r="S61" s="116"/>
      <c r="T61" s="116"/>
      <c r="U61" s="116"/>
      <c r="V61" s="116"/>
      <c r="W61" s="116"/>
      <c r="X61" s="84"/>
      <c r="Y61" s="84"/>
      <c r="Z61" s="80"/>
      <c r="AA61" s="141"/>
    </row>
    <row r="62" spans="1:27" s="120" customFormat="1" ht="16" x14ac:dyDescent="0.2">
      <c r="A62" s="73">
        <v>91</v>
      </c>
      <c r="B62" s="45" t="s">
        <v>78</v>
      </c>
      <c r="C62" s="109">
        <v>237</v>
      </c>
      <c r="D62" s="109">
        <v>234</v>
      </c>
      <c r="E62" s="116">
        <f t="shared" si="15"/>
        <v>-1.282051282051282E-2</v>
      </c>
      <c r="F62" s="53">
        <v>212</v>
      </c>
      <c r="G62" s="116">
        <f t="shared" si="3"/>
        <v>0.10377358490566038</v>
      </c>
      <c r="H62" s="109">
        <v>229</v>
      </c>
      <c r="I62" s="116">
        <f t="shared" si="4"/>
        <v>2.1834061135371178E-2</v>
      </c>
      <c r="J62" s="109">
        <v>4499</v>
      </c>
      <c r="K62" s="53">
        <v>4686</v>
      </c>
      <c r="L62" s="116">
        <f t="shared" si="5"/>
        <v>-3.9906103286384977E-2</v>
      </c>
      <c r="M62" s="109">
        <v>5204</v>
      </c>
      <c r="N62" s="116">
        <f t="shared" si="6"/>
        <v>-0.13547271329746349</v>
      </c>
      <c r="O62" s="109">
        <v>5872</v>
      </c>
      <c r="P62" s="116">
        <f t="shared" si="75"/>
        <v>-0.23382152588555857</v>
      </c>
      <c r="Q62" s="116">
        <f t="shared" si="76"/>
        <v>5.2011558124027558E-2</v>
      </c>
      <c r="R62" s="116">
        <f t="shared" si="77"/>
        <v>5.0576184379001278E-2</v>
      </c>
      <c r="S62" s="116">
        <f t="shared" si="78"/>
        <v>1.4353737450262805E-3</v>
      </c>
      <c r="T62" s="116">
        <f t="shared" si="79"/>
        <v>4.073789392774789E-2</v>
      </c>
      <c r="U62" s="116">
        <f t="shared" si="80"/>
        <v>1.1273664196279669E-2</v>
      </c>
      <c r="V62" s="116">
        <f t="shared" si="81"/>
        <v>3.8998637602179836E-2</v>
      </c>
      <c r="W62" s="116">
        <f t="shared" si="82"/>
        <v>1.3012920521847722E-2</v>
      </c>
      <c r="X62" s="84">
        <v>0.25</v>
      </c>
      <c r="Y62" s="84">
        <v>0.2600911640953717</v>
      </c>
      <c r="Z62" s="80"/>
      <c r="AA62" s="140"/>
    </row>
    <row r="63" spans="1:27" s="55" customFormat="1" ht="16" x14ac:dyDescent="0.2">
      <c r="A63" s="73">
        <v>92</v>
      </c>
      <c r="B63" s="45" t="s">
        <v>14</v>
      </c>
      <c r="C63" s="103"/>
      <c r="D63" s="103"/>
      <c r="E63" s="52"/>
      <c r="F63" s="52"/>
      <c r="G63" s="52"/>
      <c r="H63" s="103"/>
      <c r="I63" s="52"/>
      <c r="J63" s="103"/>
      <c r="K63" s="52"/>
      <c r="L63" s="52"/>
      <c r="M63" s="103"/>
      <c r="N63" s="52"/>
      <c r="O63" s="103"/>
      <c r="P63" s="52"/>
      <c r="Q63" s="52"/>
      <c r="R63" s="52"/>
      <c r="S63" s="52"/>
      <c r="T63" s="52"/>
      <c r="U63" s="52"/>
      <c r="V63" s="52"/>
      <c r="W63" s="52"/>
      <c r="X63" s="84"/>
      <c r="Y63" s="84"/>
      <c r="Z63" s="80"/>
      <c r="AA63" s="141"/>
    </row>
    <row r="71" spans="2:2" ht="17" x14ac:dyDescent="0.2">
      <c r="B71" s="10" t="s">
        <v>2</v>
      </c>
    </row>
    <row r="72" spans="2:2" x14ac:dyDescent="0.2">
      <c r="B72" s="11" t="s">
        <v>79</v>
      </c>
    </row>
    <row r="73" spans="2:2" x14ac:dyDescent="0.2">
      <c r="B73" s="12" t="s">
        <v>80</v>
      </c>
    </row>
    <row r="74" spans="2:2" x14ac:dyDescent="0.2">
      <c r="B74" t="s">
        <v>81</v>
      </c>
    </row>
    <row r="85" spans="2:2" ht="16" x14ac:dyDescent="0.2">
      <c r="B85" s="1"/>
    </row>
  </sheetData>
  <mergeCells count="1">
    <mergeCell ref="A1:F1"/>
  </mergeCells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85"/>
  <sheetViews>
    <sheetView topLeftCell="D38" zoomScale="125" zoomScaleNormal="75" workbookViewId="0">
      <selection activeCell="J62" sqref="J62"/>
    </sheetView>
  </sheetViews>
  <sheetFormatPr baseColWidth="10" defaultColWidth="18.5" defaultRowHeight="15" x14ac:dyDescent="0.2"/>
  <cols>
    <col min="1" max="1" width="9" customWidth="1"/>
    <col min="3" max="3" width="0" style="17" hidden="1" customWidth="1"/>
    <col min="4" max="4" width="18.5" style="17"/>
    <col min="6" max="6" width="0" style="17" hidden="1" customWidth="1"/>
    <col min="8" max="8" width="0" style="17" hidden="1" customWidth="1"/>
    <col min="10" max="10" width="18.5" style="17"/>
    <col min="11" max="11" width="0" style="17" hidden="1" customWidth="1"/>
    <col min="13" max="13" width="0" style="17" hidden="1" customWidth="1"/>
    <col min="15" max="15" width="0" style="17" hidden="1" customWidth="1"/>
    <col min="25" max="25" width="16.33203125" customWidth="1"/>
  </cols>
  <sheetData>
    <row r="1" spans="1:28" ht="16" x14ac:dyDescent="0.2">
      <c r="A1" s="17" t="s">
        <v>94</v>
      </c>
      <c r="C1" s="1"/>
      <c r="D1" s="1"/>
      <c r="E1" s="1"/>
      <c r="F1" s="1"/>
      <c r="G1" s="1"/>
      <c r="H1" s="1"/>
      <c r="I1" s="1"/>
    </row>
    <row r="2" spans="1:28" ht="16" thickBot="1" x14ac:dyDescent="0.25"/>
    <row r="3" spans="1:28" ht="68" x14ac:dyDescent="0.2">
      <c r="A3" s="46" t="s">
        <v>16</v>
      </c>
      <c r="B3" s="47" t="s">
        <v>17</v>
      </c>
      <c r="C3" s="47" t="s">
        <v>102</v>
      </c>
      <c r="D3" s="47" t="s">
        <v>18</v>
      </c>
      <c r="E3" s="47" t="s">
        <v>0</v>
      </c>
      <c r="F3" s="47" t="s">
        <v>103</v>
      </c>
      <c r="G3" s="47" t="s">
        <v>19</v>
      </c>
      <c r="H3" s="47" t="s">
        <v>104</v>
      </c>
      <c r="I3" s="47" t="s">
        <v>20</v>
      </c>
      <c r="J3" s="321" t="s">
        <v>21</v>
      </c>
      <c r="K3" s="47" t="s">
        <v>105</v>
      </c>
      <c r="L3" s="47" t="s">
        <v>22</v>
      </c>
      <c r="M3" s="47" t="s">
        <v>106</v>
      </c>
      <c r="N3" s="47" t="s">
        <v>23</v>
      </c>
      <c r="O3" s="47" t="s">
        <v>107</v>
      </c>
      <c r="P3" s="47" t="s">
        <v>24</v>
      </c>
      <c r="Q3" s="47" t="s">
        <v>1</v>
      </c>
      <c r="R3" s="47" t="s">
        <v>90</v>
      </c>
      <c r="S3" s="47" t="s">
        <v>25</v>
      </c>
      <c r="T3" s="47" t="s">
        <v>91</v>
      </c>
      <c r="U3" s="47" t="s">
        <v>26</v>
      </c>
      <c r="V3" s="47" t="s">
        <v>92</v>
      </c>
      <c r="W3" s="47" t="s">
        <v>27</v>
      </c>
      <c r="X3" s="47" t="s">
        <v>28</v>
      </c>
      <c r="Y3" s="47" t="s">
        <v>29</v>
      </c>
      <c r="Z3" s="47" t="s">
        <v>30</v>
      </c>
      <c r="AA3" s="48" t="s">
        <v>31</v>
      </c>
    </row>
    <row r="4" spans="1:28" s="55" customFormat="1" ht="15.5" customHeight="1" x14ac:dyDescent="0.2">
      <c r="A4" s="73"/>
      <c r="B4" s="135" t="s">
        <v>32</v>
      </c>
      <c r="C4" s="76">
        <v>52227</v>
      </c>
      <c r="D4" s="112" t="s">
        <v>95</v>
      </c>
      <c r="E4" s="116">
        <f>(D4-C4)/C4</f>
        <v>1.8745093533995828E-2</v>
      </c>
      <c r="F4" s="53">
        <v>46394</v>
      </c>
      <c r="G4" s="116">
        <f>(D4-F4)/F4</f>
        <v>0.14682933137905763</v>
      </c>
      <c r="H4" s="109">
        <v>39510</v>
      </c>
      <c r="I4" s="116">
        <f>(D4-H4)/H4</f>
        <v>0.3466464186281954</v>
      </c>
      <c r="J4" s="76">
        <v>557630</v>
      </c>
      <c r="K4" s="76">
        <v>553377</v>
      </c>
      <c r="L4" s="116">
        <f>(J4-K4)/K4</f>
        <v>7.6855380689837124E-3</v>
      </c>
      <c r="M4" s="76">
        <v>569740</v>
      </c>
      <c r="N4" s="116">
        <f>(J4-M4)/M4</f>
        <v>-2.1255309439393407E-2</v>
      </c>
      <c r="O4" s="76">
        <v>587818</v>
      </c>
      <c r="P4" s="116">
        <f>(J4-O4)/O4</f>
        <v>-5.1356031969078862E-2</v>
      </c>
      <c r="Q4" s="116">
        <f>(D4/J4)</f>
        <v>9.541452217420153E-2</v>
      </c>
      <c r="R4" s="116">
        <f>(C4/K4)</f>
        <v>9.4378696620929306E-2</v>
      </c>
      <c r="S4" s="116">
        <f>Q4-R4</f>
        <v>1.0358255532722238E-3</v>
      </c>
      <c r="T4" s="116">
        <f>(F4/M4)</f>
        <v>8.1430126022396188E-2</v>
      </c>
      <c r="U4" s="116">
        <f>Q4-T4</f>
        <v>1.3984396151805342E-2</v>
      </c>
      <c r="V4" s="116">
        <f>H4/O4</f>
        <v>6.7214682095478526E-2</v>
      </c>
      <c r="W4" s="116">
        <f>Q4-V4</f>
        <v>2.8199840078723004E-2</v>
      </c>
      <c r="X4" s="72">
        <v>0.12936835250705447</v>
      </c>
      <c r="Y4" s="72">
        <v>0.14788604789566279</v>
      </c>
      <c r="Z4" s="80">
        <v>0.39230234175747741</v>
      </c>
      <c r="AA4" s="140">
        <v>0.40633651035698948</v>
      </c>
    </row>
    <row r="5" spans="1:28" s="55" customFormat="1" ht="16" x14ac:dyDescent="0.2">
      <c r="A5" s="73">
        <v>5</v>
      </c>
      <c r="B5" s="45" t="s">
        <v>33</v>
      </c>
      <c r="C5" s="113">
        <v>495</v>
      </c>
      <c r="D5" s="113">
        <v>517</v>
      </c>
      <c r="E5" s="116">
        <f>(D5-C5)/C5</f>
        <v>4.4444444444444446E-2</v>
      </c>
      <c r="F5" s="76">
        <v>397</v>
      </c>
      <c r="G5" s="116">
        <f>(D5-F5)/F5</f>
        <v>0.30226700251889171</v>
      </c>
      <c r="H5" s="76">
        <v>284</v>
      </c>
      <c r="I5" s="116">
        <f>(D5-H5)/H5</f>
        <v>0.82042253521126762</v>
      </c>
      <c r="J5" s="136" t="s">
        <v>108</v>
      </c>
      <c r="K5" s="83">
        <v>5396</v>
      </c>
      <c r="L5" s="116">
        <f>(J5-K5)/K5</f>
        <v>1.4455151964418088E-2</v>
      </c>
      <c r="M5" s="76">
        <v>5331</v>
      </c>
      <c r="N5" s="116">
        <f>(J5-M5)/M5</f>
        <v>2.6824235603076348E-2</v>
      </c>
      <c r="O5" s="78">
        <v>5868</v>
      </c>
      <c r="P5" s="116">
        <f>(J5-O5)/O5</f>
        <v>-6.7143830947511932E-2</v>
      </c>
      <c r="Q5" s="116">
        <f>(D5/J5)</f>
        <v>9.4446474241870665E-2</v>
      </c>
      <c r="R5" s="116">
        <f>(C5/K5)</f>
        <v>9.1734618235730175E-2</v>
      </c>
      <c r="S5" s="116">
        <f>Q5-R5</f>
        <v>2.7118560061404895E-3</v>
      </c>
      <c r="T5" s="116">
        <f>(F5/M5)</f>
        <v>7.4470080660288873E-2</v>
      </c>
      <c r="U5" s="116">
        <f>Q5-T5</f>
        <v>1.9976393581581792E-2</v>
      </c>
      <c r="V5" s="116">
        <f>H5/O5</f>
        <v>4.839809134287662E-2</v>
      </c>
      <c r="W5" s="116">
        <f>Q5-V5</f>
        <v>4.6048382898994045E-2</v>
      </c>
      <c r="X5" s="72">
        <v>-0.81081081081081086</v>
      </c>
      <c r="Y5" s="72">
        <v>-0.62963039285619926</v>
      </c>
      <c r="Z5" s="80">
        <v>0.45714285714285713</v>
      </c>
      <c r="AA5" s="140">
        <v>0.45891167364381652</v>
      </c>
      <c r="AB5" s="55" t="s">
        <v>109</v>
      </c>
    </row>
    <row r="6" spans="1:28" s="55" customFormat="1" ht="16" x14ac:dyDescent="0.2">
      <c r="A6" s="73">
        <v>6</v>
      </c>
      <c r="B6" s="45" t="s">
        <v>34</v>
      </c>
      <c r="C6" s="109">
        <v>123</v>
      </c>
      <c r="D6" s="76">
        <v>144</v>
      </c>
      <c r="E6" s="116">
        <f>(D6-C6)/C6</f>
        <v>0.17073170731707318</v>
      </c>
      <c r="F6" s="76">
        <v>214</v>
      </c>
      <c r="G6" s="116">
        <f>(D6-F6)/F6</f>
        <v>-0.32710280373831774</v>
      </c>
      <c r="H6" s="114">
        <v>201</v>
      </c>
      <c r="I6" s="116">
        <f>(D6-H6)/H6</f>
        <v>-0.28358208955223879</v>
      </c>
      <c r="J6" s="83">
        <v>3249</v>
      </c>
      <c r="K6" s="83">
        <v>3150</v>
      </c>
      <c r="L6" s="116">
        <f>(J6-K6)/K6</f>
        <v>3.1428571428571431E-2</v>
      </c>
      <c r="M6" s="83">
        <v>3178</v>
      </c>
      <c r="N6" s="116">
        <f>(J6-M6)/M6</f>
        <v>2.2341095028319699E-2</v>
      </c>
      <c r="O6" s="93">
        <v>3516</v>
      </c>
      <c r="P6" s="116">
        <f>(J6-O6)/O6</f>
        <v>-7.593856655290103E-2</v>
      </c>
      <c r="Q6" s="116">
        <f>(D6/J6)</f>
        <v>4.4321329639889197E-2</v>
      </c>
      <c r="R6" s="116">
        <f>(C6/K6)</f>
        <v>3.9047619047619046E-2</v>
      </c>
      <c r="S6" s="116">
        <f>Q6-R6</f>
        <v>5.2737105922701505E-3</v>
      </c>
      <c r="T6" s="116">
        <f>(F6/M6)</f>
        <v>6.7337948395217118E-2</v>
      </c>
      <c r="U6" s="116">
        <f>Q6-T6</f>
        <v>-2.3016618755327921E-2</v>
      </c>
      <c r="V6" s="116">
        <f>H6/O6</f>
        <v>5.7167235494880543E-2</v>
      </c>
      <c r="W6" s="116">
        <f>Q6-V6</f>
        <v>-1.2845905854991346E-2</v>
      </c>
      <c r="X6" s="117">
        <v>-1</v>
      </c>
      <c r="Y6" s="117">
        <v>8.8573999100314896E-2</v>
      </c>
      <c r="Z6" s="80"/>
      <c r="AA6" s="140"/>
    </row>
    <row r="7" spans="1:28" s="55" customFormat="1" ht="16" x14ac:dyDescent="0.2">
      <c r="A7" s="73">
        <v>8</v>
      </c>
      <c r="B7" s="45" t="s">
        <v>35</v>
      </c>
      <c r="C7" s="109">
        <v>282</v>
      </c>
      <c r="D7" s="76">
        <v>265</v>
      </c>
      <c r="E7" s="116">
        <f>(D7-C7)/C7</f>
        <v>-6.0283687943262408E-2</v>
      </c>
      <c r="F7" s="76">
        <v>280</v>
      </c>
      <c r="G7" s="116">
        <f>(D7-F7)/F7</f>
        <v>-5.3571428571428568E-2</v>
      </c>
      <c r="H7" s="109">
        <v>292</v>
      </c>
      <c r="I7" s="116">
        <f>(D7-H7)/H7</f>
        <v>-9.2465753424657529E-2</v>
      </c>
      <c r="J7" s="83">
        <v>4950</v>
      </c>
      <c r="K7" s="83">
        <v>4981</v>
      </c>
      <c r="L7" s="116">
        <f>(J7-K7)/K7</f>
        <v>-6.2236498695041158E-3</v>
      </c>
      <c r="M7" s="83">
        <v>5217</v>
      </c>
      <c r="N7" s="116">
        <f>(J7-M7)/M7</f>
        <v>-5.1178838412880963E-2</v>
      </c>
      <c r="O7" s="126">
        <v>5359</v>
      </c>
      <c r="P7" s="116">
        <f>(J7-O7)/O7</f>
        <v>-7.6320208994215336E-2</v>
      </c>
      <c r="Q7" s="116">
        <f>(D7/J7)</f>
        <v>5.3535353535353533E-2</v>
      </c>
      <c r="R7" s="116">
        <f>(C7/K7)</f>
        <v>5.6615137522585825E-2</v>
      </c>
      <c r="S7" s="116">
        <f>Q7-R7</f>
        <v>-3.0797839872322916E-3</v>
      </c>
      <c r="T7" s="116">
        <f>(F7/M7)</f>
        <v>5.3670691968564312E-2</v>
      </c>
      <c r="U7" s="116">
        <f>Q7-T7</f>
        <v>-1.3533843321077849E-4</v>
      </c>
      <c r="V7" s="116">
        <f>H7/O7</f>
        <v>5.448777757044225E-2</v>
      </c>
      <c r="W7" s="116">
        <f>Q7-V7</f>
        <v>-9.5242403508871698E-4</v>
      </c>
      <c r="X7" s="72"/>
      <c r="Y7" s="72"/>
      <c r="Z7" s="80">
        <v>0.43181818181818182</v>
      </c>
      <c r="AA7" s="140">
        <v>0.5500408720584159</v>
      </c>
    </row>
    <row r="8" spans="1:28" s="55" customFormat="1" ht="16" x14ac:dyDescent="0.2">
      <c r="A8" s="73">
        <v>10</v>
      </c>
      <c r="B8" s="45" t="s">
        <v>3</v>
      </c>
      <c r="C8" s="109"/>
      <c r="D8" s="109"/>
      <c r="E8" s="116"/>
      <c r="F8" s="109"/>
      <c r="G8" s="116"/>
      <c r="H8" s="109"/>
      <c r="I8" s="116"/>
      <c r="J8" s="109"/>
      <c r="K8" s="85"/>
      <c r="L8" s="116"/>
      <c r="M8" s="109"/>
      <c r="N8" s="116"/>
      <c r="O8" s="109"/>
      <c r="P8" s="116"/>
      <c r="Q8" s="116"/>
      <c r="R8" s="116"/>
      <c r="S8" s="116"/>
      <c r="T8" s="116"/>
      <c r="U8" s="116"/>
      <c r="V8" s="116"/>
      <c r="W8" s="116"/>
      <c r="X8" s="84"/>
      <c r="Y8" s="84"/>
      <c r="Z8" s="80"/>
      <c r="AA8" s="141"/>
    </row>
    <row r="9" spans="1:28" s="55" customFormat="1" ht="16" x14ac:dyDescent="0.2">
      <c r="A9" s="73">
        <v>19</v>
      </c>
      <c r="B9" s="45" t="s">
        <v>4</v>
      </c>
      <c r="C9" s="109"/>
      <c r="D9" s="109"/>
      <c r="E9" s="116"/>
      <c r="F9" s="109"/>
      <c r="G9" s="116"/>
      <c r="H9" s="109"/>
      <c r="I9" s="116"/>
      <c r="J9" s="109"/>
      <c r="K9" s="109"/>
      <c r="L9" s="116"/>
      <c r="M9" s="109"/>
      <c r="N9" s="116"/>
      <c r="O9" s="109"/>
      <c r="P9" s="116"/>
      <c r="Q9" s="116"/>
      <c r="R9" s="116"/>
      <c r="S9" s="116"/>
      <c r="T9" s="116"/>
      <c r="U9" s="116"/>
      <c r="V9" s="116"/>
      <c r="W9" s="116"/>
      <c r="X9" s="84"/>
      <c r="Y9" s="84"/>
      <c r="Z9" s="80"/>
      <c r="AA9" s="141"/>
    </row>
    <row r="10" spans="1:28" s="55" customFormat="1" ht="16" x14ac:dyDescent="0.2">
      <c r="A10" s="73">
        <v>20</v>
      </c>
      <c r="B10" s="45" t="s">
        <v>36</v>
      </c>
      <c r="C10" s="76">
        <v>265</v>
      </c>
      <c r="D10" s="76">
        <v>266</v>
      </c>
      <c r="E10" s="116">
        <f t="shared" ref="E10:E62" si="0">(D10-C10)/C10</f>
        <v>3.7735849056603774E-3</v>
      </c>
      <c r="F10" s="109">
        <v>172</v>
      </c>
      <c r="G10" s="116">
        <f t="shared" ref="G10:G62" si="1">(D10-F10)/F10</f>
        <v>0.54651162790697672</v>
      </c>
      <c r="H10" s="76">
        <v>173</v>
      </c>
      <c r="I10" s="116">
        <f t="shared" ref="I10:I62" si="2">(D10-H10)/H10</f>
        <v>0.53757225433526012</v>
      </c>
      <c r="J10" s="76">
        <v>3774</v>
      </c>
      <c r="K10" s="76">
        <v>3657</v>
      </c>
      <c r="L10" s="116">
        <f t="shared" ref="L10:L62" si="3">(J10-K10)/K10</f>
        <v>3.1993437243642328E-2</v>
      </c>
      <c r="M10" s="76">
        <v>3968</v>
      </c>
      <c r="N10" s="116">
        <f t="shared" ref="N10:N62" si="4">(J10-M10)/M10</f>
        <v>-4.8891129032258063E-2</v>
      </c>
      <c r="O10" s="78">
        <v>4546</v>
      </c>
      <c r="P10" s="116">
        <f t="shared" ref="P10:P13" si="5">(J10-O10)/O10</f>
        <v>-0.16981962164540254</v>
      </c>
      <c r="Q10" s="116">
        <f t="shared" ref="Q10" si="6">(D10/J10)</f>
        <v>7.0482246952835184E-2</v>
      </c>
      <c r="R10" s="116">
        <f t="shared" ref="R10" si="7">(C10/K10)</f>
        <v>7.2463768115942032E-2</v>
      </c>
      <c r="S10" s="116">
        <f t="shared" ref="S10" si="8">Q10-R10</f>
        <v>-1.9815211631068474E-3</v>
      </c>
      <c r="T10" s="116">
        <f t="shared" ref="T10" si="9">(F10/M10)</f>
        <v>4.334677419354839E-2</v>
      </c>
      <c r="U10" s="116">
        <f t="shared" ref="U10" si="10">Q10-T10</f>
        <v>2.7135472759286794E-2</v>
      </c>
      <c r="V10" s="116">
        <f t="shared" ref="V10" si="11">H10/O10</f>
        <v>3.8055433347998241E-2</v>
      </c>
      <c r="W10" s="116">
        <f t="shared" ref="W10" si="12">Q10-V10</f>
        <v>3.2426813604836943E-2</v>
      </c>
      <c r="X10" s="72"/>
      <c r="Y10" s="72"/>
      <c r="Z10" s="80">
        <v>0.27586206896551724</v>
      </c>
      <c r="AA10" s="140">
        <v>0.39385805902305721</v>
      </c>
    </row>
    <row r="11" spans="1:28" s="55" customFormat="1" ht="16" x14ac:dyDescent="0.2">
      <c r="A11" s="73">
        <v>22</v>
      </c>
      <c r="B11" s="45" t="s">
        <v>37</v>
      </c>
      <c r="C11" s="109">
        <v>1112</v>
      </c>
      <c r="D11" s="127">
        <v>1144</v>
      </c>
      <c r="E11" s="116">
        <f t="shared" si="0"/>
        <v>2.8776978417266189E-2</v>
      </c>
      <c r="F11" s="76">
        <v>1012</v>
      </c>
      <c r="G11" s="116">
        <f t="shared" si="1"/>
        <v>0.13043478260869565</v>
      </c>
      <c r="H11" s="76">
        <v>871</v>
      </c>
      <c r="I11" s="116">
        <f t="shared" si="2"/>
        <v>0.31343283582089554</v>
      </c>
      <c r="J11" s="83">
        <v>8489</v>
      </c>
      <c r="K11" s="83">
        <v>8489</v>
      </c>
      <c r="L11" s="116">
        <f t="shared" si="3"/>
        <v>0</v>
      </c>
      <c r="M11" s="83">
        <v>8497</v>
      </c>
      <c r="N11" s="116">
        <f t="shared" si="4"/>
        <v>-9.4150876780040016E-4</v>
      </c>
      <c r="O11" s="78">
        <v>9250</v>
      </c>
      <c r="P11" s="116">
        <f t="shared" si="5"/>
        <v>-8.2270270270270271E-2</v>
      </c>
      <c r="Q11" s="116">
        <f t="shared" ref="Q11:Q12" si="13">(D11/J11)</f>
        <v>0.13476263399693722</v>
      </c>
      <c r="R11" s="116">
        <f t="shared" ref="R11:R12" si="14">(C11/K11)</f>
        <v>0.13099304982919072</v>
      </c>
      <c r="S11" s="116">
        <f t="shared" ref="S11:S12" si="15">Q11-R11</f>
        <v>3.7695841677465036E-3</v>
      </c>
      <c r="T11" s="116">
        <f t="shared" ref="T11:T12" si="16">(F11/M11)</f>
        <v>0.11910085912675061</v>
      </c>
      <c r="U11" s="116">
        <f t="shared" ref="U11:U12" si="17">Q11-T11</f>
        <v>1.5661774870186607E-2</v>
      </c>
      <c r="V11" s="116">
        <f t="shared" ref="V11:V12" si="18">H11/O11</f>
        <v>9.4162162162162166E-2</v>
      </c>
      <c r="W11" s="116">
        <f t="shared" ref="W11:W12" si="19">Q11-V11</f>
        <v>4.0600471834775054E-2</v>
      </c>
      <c r="X11" s="72">
        <v>2.4390243902439025E-2</v>
      </c>
      <c r="Y11" s="72">
        <v>8.8160648533675806E-2</v>
      </c>
      <c r="Z11" s="80">
        <v>0.31632653061224492</v>
      </c>
      <c r="AA11" s="140">
        <v>0.40564526570737752</v>
      </c>
    </row>
    <row r="12" spans="1:28" s="55" customFormat="1" ht="16" x14ac:dyDescent="0.2">
      <c r="A12" s="73">
        <v>23</v>
      </c>
      <c r="B12" s="45" t="s">
        <v>38</v>
      </c>
      <c r="C12" s="109">
        <v>2351</v>
      </c>
      <c r="D12" s="109">
        <v>2352</v>
      </c>
      <c r="E12" s="116">
        <f t="shared" si="0"/>
        <v>4.253509145044662E-4</v>
      </c>
      <c r="F12" s="109">
        <v>2037</v>
      </c>
      <c r="G12" s="116">
        <f t="shared" si="1"/>
        <v>0.15463917525773196</v>
      </c>
      <c r="H12" s="109">
        <v>1662</v>
      </c>
      <c r="I12" s="116">
        <f t="shared" si="2"/>
        <v>0.41516245487364623</v>
      </c>
      <c r="J12" s="51">
        <v>22092</v>
      </c>
      <c r="K12" s="83">
        <v>21582</v>
      </c>
      <c r="L12" s="116">
        <f t="shared" si="3"/>
        <v>2.363080344731721E-2</v>
      </c>
      <c r="M12" s="83">
        <v>21561</v>
      </c>
      <c r="N12" s="116">
        <f t="shared" si="4"/>
        <v>2.462780019479616E-2</v>
      </c>
      <c r="O12" s="78">
        <v>21889</v>
      </c>
      <c r="P12" s="116">
        <f t="shared" si="5"/>
        <v>9.2740645986568605E-3</v>
      </c>
      <c r="Q12" s="116">
        <f t="shared" si="13"/>
        <v>0.10646387832699619</v>
      </c>
      <c r="R12" s="116">
        <f t="shared" si="14"/>
        <v>0.1089333704012603</v>
      </c>
      <c r="S12" s="116">
        <f t="shared" si="15"/>
        <v>-2.4694920742641124E-3</v>
      </c>
      <c r="T12" s="116">
        <f t="shared" si="16"/>
        <v>9.4476137470432722E-2</v>
      </c>
      <c r="U12" s="116">
        <f t="shared" si="17"/>
        <v>1.198774085656347E-2</v>
      </c>
      <c r="V12" s="116">
        <f t="shared" si="18"/>
        <v>7.5928548586047792E-2</v>
      </c>
      <c r="W12" s="116">
        <f t="shared" si="19"/>
        <v>3.05353297409484E-2</v>
      </c>
      <c r="X12" s="134">
        <v>0.14410480349344978</v>
      </c>
      <c r="Y12" s="134">
        <v>0.16232838517385637</v>
      </c>
      <c r="Z12" s="134">
        <v>0.2839506172839506</v>
      </c>
      <c r="AA12" s="145">
        <v>0.25057538979333976</v>
      </c>
    </row>
    <row r="13" spans="1:28" s="55" customFormat="1" ht="17" x14ac:dyDescent="0.2">
      <c r="A13" s="73">
        <v>27</v>
      </c>
      <c r="B13" s="45" t="s">
        <v>39</v>
      </c>
      <c r="C13" s="76">
        <v>352</v>
      </c>
      <c r="D13" s="76">
        <v>368</v>
      </c>
      <c r="E13" s="116">
        <f t="shared" si="0"/>
        <v>4.5454545454545456E-2</v>
      </c>
      <c r="F13" s="76">
        <v>310</v>
      </c>
      <c r="G13" s="116">
        <f t="shared" si="1"/>
        <v>0.18709677419354839</v>
      </c>
      <c r="H13" s="115" t="s">
        <v>85</v>
      </c>
      <c r="I13" s="117" t="s">
        <v>85</v>
      </c>
      <c r="J13" s="78">
        <v>4640</v>
      </c>
      <c r="K13" s="83">
        <v>4590</v>
      </c>
      <c r="L13" s="116">
        <f t="shared" si="3"/>
        <v>1.0893246187363835E-2</v>
      </c>
      <c r="M13" s="83">
        <v>5206</v>
      </c>
      <c r="N13" s="116">
        <f t="shared" si="4"/>
        <v>-0.10872070687668076</v>
      </c>
      <c r="O13" s="78">
        <v>6792</v>
      </c>
      <c r="P13" s="116">
        <f t="shared" si="5"/>
        <v>-0.31684334511189632</v>
      </c>
      <c r="Q13" s="116">
        <f t="shared" ref="Q13" si="20">(D13/J13)</f>
        <v>7.9310344827586213E-2</v>
      </c>
      <c r="R13" s="116">
        <f t="shared" ref="R13" si="21">(C13/K13)</f>
        <v>7.6688453159041395E-2</v>
      </c>
      <c r="S13" s="116">
        <f t="shared" ref="S13" si="22">Q13-R13</f>
        <v>2.6218916685448179E-3</v>
      </c>
      <c r="T13" s="116">
        <f t="shared" ref="T13" si="23">(F13/M13)</f>
        <v>5.9546676911256244E-2</v>
      </c>
      <c r="U13" s="116">
        <f t="shared" ref="U13" si="24">Q13-T13</f>
        <v>1.9763667916329969E-2</v>
      </c>
      <c r="V13" s="116"/>
      <c r="W13" s="116"/>
      <c r="X13" s="72">
        <v>0</v>
      </c>
      <c r="Y13" s="72">
        <v>0.27796092796092797</v>
      </c>
      <c r="Z13" s="80">
        <v>0.58333333333333337</v>
      </c>
      <c r="AA13" s="140">
        <v>0.46151141743247009</v>
      </c>
    </row>
    <row r="14" spans="1:28" s="55" customFormat="1" ht="16" x14ac:dyDescent="0.2">
      <c r="A14" s="73">
        <v>28</v>
      </c>
      <c r="B14" s="45" t="s">
        <v>40</v>
      </c>
      <c r="C14" s="109">
        <v>197</v>
      </c>
      <c r="D14" s="109">
        <v>208</v>
      </c>
      <c r="E14" s="116">
        <f t="shared" si="0"/>
        <v>5.5837563451776651E-2</v>
      </c>
      <c r="F14" s="83">
        <v>179</v>
      </c>
      <c r="G14" s="116">
        <f t="shared" si="1"/>
        <v>0.16201117318435754</v>
      </c>
      <c r="H14" s="83">
        <v>250</v>
      </c>
      <c r="I14" s="116">
        <f t="shared" si="2"/>
        <v>-0.16800000000000001</v>
      </c>
      <c r="J14" s="93">
        <v>3062</v>
      </c>
      <c r="K14" s="83">
        <v>3087</v>
      </c>
      <c r="L14" s="116">
        <f t="shared" si="3"/>
        <v>-8.0984774862325887E-3</v>
      </c>
      <c r="M14" s="83">
        <v>3496</v>
      </c>
      <c r="N14" s="116">
        <f t="shared" si="4"/>
        <v>-0.12414187643020595</v>
      </c>
      <c r="O14" s="126">
        <v>4114</v>
      </c>
      <c r="P14" s="116">
        <f t="shared" ref="P14" si="25">(J14-O14)/O14</f>
        <v>-0.25571220223626639</v>
      </c>
      <c r="Q14" s="116">
        <f t="shared" ref="Q14" si="26">(D14/J14)</f>
        <v>6.7929457870672769E-2</v>
      </c>
      <c r="R14" s="116">
        <f t="shared" ref="R14" si="27">(C14/K14)</f>
        <v>6.3816002591512794E-2</v>
      </c>
      <c r="S14" s="116">
        <f t="shared" ref="S14" si="28">Q14-R14</f>
        <v>4.1134552791599749E-3</v>
      </c>
      <c r="T14" s="116">
        <f t="shared" ref="T14" si="29">(F14/M14)</f>
        <v>5.1201372997711672E-2</v>
      </c>
      <c r="U14" s="116">
        <f t="shared" ref="U14" si="30">Q14-T14</f>
        <v>1.6728084872961096E-2</v>
      </c>
      <c r="V14" s="116">
        <f t="shared" ref="V14" si="31">H14/O14</f>
        <v>6.0768108896451144E-2</v>
      </c>
      <c r="W14" s="116">
        <f t="shared" ref="W14:W15" si="32">Q14-V14</f>
        <v>7.1613489742216249E-3</v>
      </c>
      <c r="X14" s="72">
        <v>0.05</v>
      </c>
      <c r="Y14" s="72">
        <v>0.23369023047815618</v>
      </c>
      <c r="Z14" s="80">
        <v>0.42105263157894735</v>
      </c>
      <c r="AA14" s="140">
        <v>0.38649159129708327</v>
      </c>
    </row>
    <row r="15" spans="1:28" s="55" customFormat="1" ht="16" x14ac:dyDescent="0.2">
      <c r="A15" s="73">
        <v>33</v>
      </c>
      <c r="B15" s="45" t="s">
        <v>41</v>
      </c>
      <c r="C15" s="109">
        <v>552</v>
      </c>
      <c r="D15" s="76">
        <v>616</v>
      </c>
      <c r="E15" s="116">
        <f t="shared" si="0"/>
        <v>0.11594202898550725</v>
      </c>
      <c r="F15" s="76">
        <v>455</v>
      </c>
      <c r="G15" s="116">
        <f t="shared" si="1"/>
        <v>0.35384615384615387</v>
      </c>
      <c r="H15" s="109">
        <v>435</v>
      </c>
      <c r="I15" s="116">
        <f t="shared" si="2"/>
        <v>0.41609195402298849</v>
      </c>
      <c r="J15" s="93">
        <v>13464</v>
      </c>
      <c r="K15" s="83">
        <v>13111</v>
      </c>
      <c r="L15" s="116">
        <f t="shared" si="3"/>
        <v>2.6923956982686292E-2</v>
      </c>
      <c r="M15" s="83">
        <v>13212</v>
      </c>
      <c r="N15" s="116">
        <f t="shared" si="4"/>
        <v>1.9073569482288829E-2</v>
      </c>
      <c r="O15" s="126">
        <v>13064</v>
      </c>
      <c r="P15" s="116">
        <f t="shared" ref="P15" si="33">(J15-O15)/O15</f>
        <v>3.061849357011635E-2</v>
      </c>
      <c r="Q15" s="116">
        <f t="shared" ref="Q15" si="34">(D15/J15)</f>
        <v>4.5751633986928102E-2</v>
      </c>
      <c r="R15" s="116">
        <f t="shared" ref="R15" si="35">(C15/K15)</f>
        <v>4.2102051712302649E-2</v>
      </c>
      <c r="S15" s="116">
        <f t="shared" ref="S15" si="36">Q15-R15</f>
        <v>3.6495822746254528E-3</v>
      </c>
      <c r="T15" s="116">
        <f t="shared" ref="T15" si="37">(F15/M15)</f>
        <v>3.4438389343021493E-2</v>
      </c>
      <c r="U15" s="116">
        <f t="shared" ref="U15" si="38">Q15-T15</f>
        <v>1.1313244643906609E-2</v>
      </c>
      <c r="V15" s="116">
        <f t="shared" ref="V15" si="39">H15/O15</f>
        <v>3.3297611757501532E-2</v>
      </c>
      <c r="W15" s="116">
        <f t="shared" si="32"/>
        <v>1.245402222942657E-2</v>
      </c>
      <c r="X15" s="72"/>
      <c r="Y15" s="72"/>
      <c r="Z15" s="80">
        <v>0.33783783783783783</v>
      </c>
      <c r="AA15" s="140">
        <v>0.38962904840349527</v>
      </c>
    </row>
    <row r="16" spans="1:28" s="55" customFormat="1" ht="16" x14ac:dyDescent="0.2">
      <c r="A16" s="73">
        <v>34</v>
      </c>
      <c r="B16" s="45" t="s">
        <v>42</v>
      </c>
      <c r="C16" s="109">
        <v>1319</v>
      </c>
      <c r="D16" s="109">
        <v>1340</v>
      </c>
      <c r="E16" s="116">
        <f t="shared" si="0"/>
        <v>1.5921152388172859E-2</v>
      </c>
      <c r="F16" s="109">
        <v>1202</v>
      </c>
      <c r="G16" s="116">
        <f t="shared" si="1"/>
        <v>0.11480865224625623</v>
      </c>
      <c r="H16" s="109">
        <v>1134</v>
      </c>
      <c r="I16" s="116">
        <f t="shared" si="2"/>
        <v>0.18165784832451498</v>
      </c>
      <c r="J16" s="93">
        <v>19500</v>
      </c>
      <c r="K16" s="83">
        <v>19092</v>
      </c>
      <c r="L16" s="116">
        <f t="shared" si="3"/>
        <v>2.1370207416719043E-2</v>
      </c>
      <c r="M16" s="83">
        <v>19402</v>
      </c>
      <c r="N16" s="116">
        <f t="shared" si="4"/>
        <v>5.0510256674569636E-3</v>
      </c>
      <c r="O16" s="93">
        <v>19349</v>
      </c>
      <c r="P16" s="116">
        <f t="shared" ref="P16" si="40">(J16-O16)/O16</f>
        <v>7.8040208796320227E-3</v>
      </c>
      <c r="Q16" s="116">
        <f t="shared" ref="Q16" si="41">(D16/J16)</f>
        <v>6.8717948717948715E-2</v>
      </c>
      <c r="R16" s="116">
        <f t="shared" ref="R16" si="42">(C16/K16)</f>
        <v>6.9086528388853971E-2</v>
      </c>
      <c r="S16" s="116">
        <f t="shared" ref="S16" si="43">Q16-R16</f>
        <v>-3.6857967090525579E-4</v>
      </c>
      <c r="T16" s="116">
        <f t="shared" ref="T16" si="44">(F16/M16)</f>
        <v>6.1952376043706833E-2</v>
      </c>
      <c r="U16" s="116">
        <f t="shared" ref="U16" si="45">Q16-T16</f>
        <v>6.765572674241882E-3</v>
      </c>
      <c r="V16" s="116">
        <f t="shared" ref="V16" si="46">H16/O16</f>
        <v>5.8607679983461676E-2</v>
      </c>
      <c r="W16" s="116">
        <f t="shared" ref="W16" si="47">Q16-V16</f>
        <v>1.0110268734487039E-2</v>
      </c>
      <c r="X16" s="84">
        <v>0.18032786885245902</v>
      </c>
      <c r="Y16" s="84">
        <v>0.25877285119457571</v>
      </c>
      <c r="Z16" s="80">
        <v>0.33944954128440369</v>
      </c>
      <c r="AA16" s="140">
        <v>0.3407420090190505</v>
      </c>
    </row>
    <row r="17" spans="1:27" s="55" customFormat="1" ht="16" x14ac:dyDescent="0.2">
      <c r="A17" s="73">
        <v>35</v>
      </c>
      <c r="B17" s="45" t="s">
        <v>43</v>
      </c>
      <c r="C17" s="109">
        <v>1448</v>
      </c>
      <c r="D17" s="109">
        <v>1542</v>
      </c>
      <c r="E17" s="116">
        <f t="shared" si="0"/>
        <v>6.4917127071823205E-2</v>
      </c>
      <c r="F17" s="109">
        <v>1379</v>
      </c>
      <c r="G17" s="116">
        <f t="shared" si="1"/>
        <v>0.11820159535895576</v>
      </c>
      <c r="H17" s="109">
        <v>1394</v>
      </c>
      <c r="I17" s="116">
        <f t="shared" si="2"/>
        <v>0.10616929698708752</v>
      </c>
      <c r="J17" s="93">
        <v>21586</v>
      </c>
      <c r="K17" s="83">
        <v>20512</v>
      </c>
      <c r="L17" s="116">
        <f t="shared" si="3"/>
        <v>5.2359594383775354E-2</v>
      </c>
      <c r="M17" s="109">
        <v>19603</v>
      </c>
      <c r="N17" s="116">
        <f t="shared" si="4"/>
        <v>0.10115798602254757</v>
      </c>
      <c r="O17" s="93">
        <v>19890</v>
      </c>
      <c r="P17" s="116">
        <f t="shared" ref="P17" si="48">(J17-O17)/O17</f>
        <v>8.5268979386626448E-2</v>
      </c>
      <c r="Q17" s="116">
        <f t="shared" ref="Q17" si="49">(D17/J17)</f>
        <v>7.1435189474659502E-2</v>
      </c>
      <c r="R17" s="116">
        <f t="shared" ref="R17" si="50">(C17/K17)</f>
        <v>7.0592823712948519E-2</v>
      </c>
      <c r="S17" s="116">
        <f t="shared" ref="S17" si="51">Q17-R17</f>
        <v>8.4236576171098365E-4</v>
      </c>
      <c r="T17" s="116">
        <f t="shared" ref="T17" si="52">(F17/M17)</f>
        <v>7.0346375554762031E-2</v>
      </c>
      <c r="U17" s="116">
        <f t="shared" ref="U17" si="53">Q17-T17</f>
        <v>1.0888139198974717E-3</v>
      </c>
      <c r="V17" s="116">
        <f t="shared" ref="V17" si="54">H17/O17</f>
        <v>7.0085470085470086E-2</v>
      </c>
      <c r="W17" s="116">
        <f t="shared" ref="W17" si="55">Q17-V17</f>
        <v>1.349719389189416E-3</v>
      </c>
      <c r="X17" s="84">
        <v>7.6086956521739135E-2</v>
      </c>
      <c r="Y17" s="84">
        <v>9.1382489600322706E-2</v>
      </c>
      <c r="Z17" s="80">
        <v>0.40909090909090912</v>
      </c>
      <c r="AA17" s="140">
        <v>0.51397220779889219</v>
      </c>
    </row>
    <row r="18" spans="1:27" s="55" customFormat="1" ht="16" x14ac:dyDescent="0.2">
      <c r="A18" s="73">
        <v>36</v>
      </c>
      <c r="B18" s="45" t="s">
        <v>44</v>
      </c>
      <c r="C18" s="109">
        <v>3398</v>
      </c>
      <c r="D18" s="109">
        <v>3362</v>
      </c>
      <c r="E18" s="116">
        <f t="shared" si="0"/>
        <v>-1.059446733372572E-2</v>
      </c>
      <c r="F18" s="109">
        <v>3112</v>
      </c>
      <c r="G18" s="116">
        <f t="shared" si="1"/>
        <v>8.0334190231362471E-2</v>
      </c>
      <c r="H18" s="109">
        <v>2768</v>
      </c>
      <c r="I18" s="116">
        <f t="shared" si="2"/>
        <v>0.21459537572254336</v>
      </c>
      <c r="J18" s="75">
        <v>71838</v>
      </c>
      <c r="K18" s="83">
        <v>70942</v>
      </c>
      <c r="L18" s="116">
        <f t="shared" si="3"/>
        <v>1.263003580389614E-2</v>
      </c>
      <c r="M18" s="83">
        <v>69461</v>
      </c>
      <c r="N18" s="116">
        <f t="shared" si="4"/>
        <v>3.4220641798995116E-2</v>
      </c>
      <c r="O18" s="93">
        <v>66851</v>
      </c>
      <c r="P18" s="116">
        <f t="shared" ref="P18" si="56">(J18-O18)/O18</f>
        <v>7.4598734499109962E-2</v>
      </c>
      <c r="Q18" s="116">
        <f t="shared" ref="Q18" si="57">(D18/J18)</f>
        <v>4.6799743868147774E-2</v>
      </c>
      <c r="R18" s="116">
        <f t="shared" ref="R18" si="58">(C18/K18)</f>
        <v>4.7898283104507909E-2</v>
      </c>
      <c r="S18" s="116">
        <f t="shared" ref="S18" si="59">Q18-R18</f>
        <v>-1.0985392363601354E-3</v>
      </c>
      <c r="T18" s="116">
        <f t="shared" ref="T18" si="60">(F18/M18)</f>
        <v>4.4802119174788733E-2</v>
      </c>
      <c r="U18" s="116">
        <f t="shared" ref="U18" si="61">Q18-T18</f>
        <v>1.9976246933590402E-3</v>
      </c>
      <c r="V18" s="116">
        <f t="shared" ref="V18" si="62">H18/O18</f>
        <v>4.1405513754468895E-2</v>
      </c>
      <c r="W18" s="116">
        <f t="shared" ref="W18" si="63">Q18-V18</f>
        <v>5.3942301136788787E-3</v>
      </c>
      <c r="X18" s="84">
        <v>9.5057034220532313E-2</v>
      </c>
      <c r="Y18" s="84">
        <v>0.13812883853605068</v>
      </c>
      <c r="Z18" s="80">
        <v>0.31186440677966104</v>
      </c>
      <c r="AA18" s="139">
        <v>0.35825330053210092</v>
      </c>
    </row>
    <row r="19" spans="1:27" s="55" customFormat="1" ht="16" x14ac:dyDescent="0.2">
      <c r="A19" s="73">
        <v>37</v>
      </c>
      <c r="B19" s="45" t="s">
        <v>45</v>
      </c>
      <c r="C19" s="109">
        <v>2047</v>
      </c>
      <c r="D19" s="109">
        <v>2034</v>
      </c>
      <c r="E19" s="116">
        <f t="shared" si="0"/>
        <v>-6.3507572056668293E-3</v>
      </c>
      <c r="F19" s="109">
        <v>1974</v>
      </c>
      <c r="G19" s="116">
        <f t="shared" si="1"/>
        <v>3.0395136778115502E-2</v>
      </c>
      <c r="H19" s="109">
        <v>1666</v>
      </c>
      <c r="I19" s="116">
        <f t="shared" si="2"/>
        <v>0.22088835534213686</v>
      </c>
      <c r="J19" s="83">
        <v>16414</v>
      </c>
      <c r="K19" s="83">
        <v>16320</v>
      </c>
      <c r="L19" s="116">
        <f t="shared" si="3"/>
        <v>5.7598039215686278E-3</v>
      </c>
      <c r="M19" s="83">
        <v>16352</v>
      </c>
      <c r="N19" s="116">
        <f t="shared" si="4"/>
        <v>3.7915851272015653E-3</v>
      </c>
      <c r="O19" s="93">
        <v>16820</v>
      </c>
      <c r="P19" s="116">
        <f t="shared" ref="P19:P21" si="64">(J19-O19)/O19</f>
        <v>-2.4137931034482758E-2</v>
      </c>
      <c r="Q19" s="116">
        <f t="shared" ref="Q19:Q21" si="65">(D19/J19)</f>
        <v>0.12391860606799074</v>
      </c>
      <c r="R19" s="116">
        <f t="shared" ref="R19:R21" si="66">(C19/K19)</f>
        <v>0.12542892156862745</v>
      </c>
      <c r="S19" s="116">
        <f t="shared" ref="S19:S21" si="67">Q19-R19</f>
        <v>-1.5103155006367108E-3</v>
      </c>
      <c r="T19" s="116">
        <f t="shared" ref="T19:T21" si="68">(F19/M19)</f>
        <v>0.12071917808219178</v>
      </c>
      <c r="U19" s="116">
        <f t="shared" ref="U19:U21" si="69">Q19-T19</f>
        <v>3.199427985798961E-3</v>
      </c>
      <c r="V19" s="116">
        <f t="shared" ref="V19:V21" si="70">H19/O19</f>
        <v>9.9048751486325803E-2</v>
      </c>
      <c r="W19" s="116">
        <f t="shared" ref="W19:W21" si="71">Q19-V19</f>
        <v>2.4869854581664935E-2</v>
      </c>
      <c r="X19" s="72">
        <v>0.12352941176470589</v>
      </c>
      <c r="Y19" s="72">
        <v>0.13390852003930348</v>
      </c>
      <c r="Z19" s="80">
        <v>0.30555555555555558</v>
      </c>
      <c r="AA19" s="140">
        <v>0.35029296970504592</v>
      </c>
    </row>
    <row r="20" spans="1:27" s="55" customFormat="1" ht="16" x14ac:dyDescent="0.2">
      <c r="A20" s="73">
        <v>38</v>
      </c>
      <c r="B20" s="45" t="s">
        <v>46</v>
      </c>
      <c r="C20" s="109">
        <v>2790</v>
      </c>
      <c r="D20" s="109">
        <v>2248</v>
      </c>
      <c r="E20" s="116">
        <f t="shared" si="0"/>
        <v>-0.19426523297491038</v>
      </c>
      <c r="F20" s="109">
        <v>2234</v>
      </c>
      <c r="G20" s="116">
        <f t="shared" si="1"/>
        <v>6.2667860340196958E-3</v>
      </c>
      <c r="H20" s="109">
        <v>2350</v>
      </c>
      <c r="I20" s="116">
        <f t="shared" si="2"/>
        <v>-4.3404255319148939E-2</v>
      </c>
      <c r="J20" s="109">
        <v>20845</v>
      </c>
      <c r="K20" s="109">
        <v>21293</v>
      </c>
      <c r="L20" s="116">
        <f t="shared" si="3"/>
        <v>-2.103977833090687E-2</v>
      </c>
      <c r="M20" s="109">
        <v>22479</v>
      </c>
      <c r="N20" s="116">
        <f t="shared" si="4"/>
        <v>-7.2690066284087376E-2</v>
      </c>
      <c r="O20" s="109">
        <v>23448</v>
      </c>
      <c r="P20" s="116">
        <f t="shared" si="64"/>
        <v>-0.1110116001364722</v>
      </c>
      <c r="Q20" s="116">
        <f t="shared" si="65"/>
        <v>0.10784360757975534</v>
      </c>
      <c r="R20" s="116">
        <f t="shared" si="66"/>
        <v>0.1310289766589959</v>
      </c>
      <c r="S20" s="116">
        <f t="shared" si="67"/>
        <v>-2.318536907924057E-2</v>
      </c>
      <c r="T20" s="116">
        <f t="shared" si="68"/>
        <v>9.9381645090973803E-2</v>
      </c>
      <c r="U20" s="116">
        <f t="shared" si="69"/>
        <v>8.4619624887815326E-3</v>
      </c>
      <c r="V20" s="116">
        <f t="shared" si="70"/>
        <v>0.10022176731490959</v>
      </c>
      <c r="W20" s="116">
        <f t="shared" si="71"/>
        <v>7.6218402648457473E-3</v>
      </c>
      <c r="X20" s="84">
        <v>0.16326530612244897</v>
      </c>
      <c r="Y20" s="84">
        <v>0.18676174341284893</v>
      </c>
      <c r="Z20" s="80">
        <v>0.33513513513513515</v>
      </c>
      <c r="AA20" s="140">
        <v>0.30295888420109574</v>
      </c>
    </row>
    <row r="21" spans="1:27" s="55" customFormat="1" ht="16" x14ac:dyDescent="0.2">
      <c r="A21" s="73">
        <v>39</v>
      </c>
      <c r="B21" s="45" t="s">
        <v>47</v>
      </c>
      <c r="C21" s="109">
        <v>5313</v>
      </c>
      <c r="D21" s="109">
        <v>5354</v>
      </c>
      <c r="E21" s="116">
        <f t="shared" si="0"/>
        <v>7.716920760399021E-3</v>
      </c>
      <c r="F21" s="109">
        <v>4788</v>
      </c>
      <c r="G21" s="116">
        <f t="shared" si="1"/>
        <v>0.11821219715956557</v>
      </c>
      <c r="H21" s="109">
        <v>3942</v>
      </c>
      <c r="I21" s="116">
        <f t="shared" si="2"/>
        <v>0.35819381024860475</v>
      </c>
      <c r="J21" s="109">
        <v>52247</v>
      </c>
      <c r="K21" s="109">
        <v>52760</v>
      </c>
      <c r="L21" s="116">
        <f t="shared" si="3"/>
        <v>-9.7232752084912815E-3</v>
      </c>
      <c r="M21" s="109">
        <v>58003</v>
      </c>
      <c r="N21" s="116">
        <f t="shared" si="4"/>
        <v>-9.9236246401048223E-2</v>
      </c>
      <c r="O21" s="109">
        <v>59456</v>
      </c>
      <c r="P21" s="116">
        <f t="shared" si="64"/>
        <v>-0.1212493272335845</v>
      </c>
      <c r="Q21" s="116">
        <f t="shared" si="65"/>
        <v>0.10247478324114304</v>
      </c>
      <c r="R21" s="116">
        <f t="shared" si="66"/>
        <v>0.10070128885519333</v>
      </c>
      <c r="S21" s="116">
        <f t="shared" si="67"/>
        <v>1.7734943859497032E-3</v>
      </c>
      <c r="T21" s="116">
        <f t="shared" si="68"/>
        <v>8.2547454442011614E-2</v>
      </c>
      <c r="U21" s="116">
        <f t="shared" si="69"/>
        <v>1.9927328799131422E-2</v>
      </c>
      <c r="V21" s="116">
        <f t="shared" si="70"/>
        <v>6.6301130247578041E-2</v>
      </c>
      <c r="W21" s="116">
        <f t="shared" si="71"/>
        <v>3.6173652993564995E-2</v>
      </c>
      <c r="X21" s="133">
        <v>0.17689530685920576</v>
      </c>
      <c r="Y21" s="84">
        <v>0.19241896372853259</v>
      </c>
      <c r="Z21" s="80">
        <v>0.42431761786600497</v>
      </c>
      <c r="AA21" s="140">
        <v>0.42352638457033659</v>
      </c>
    </row>
    <row r="22" spans="1:27" s="55" customFormat="1" ht="16" x14ac:dyDescent="0.2">
      <c r="A22" s="73">
        <v>40</v>
      </c>
      <c r="B22" s="45" t="s">
        <v>48</v>
      </c>
      <c r="C22" s="109">
        <v>972</v>
      </c>
      <c r="D22" s="109">
        <v>993</v>
      </c>
      <c r="E22" s="116">
        <f t="shared" si="0"/>
        <v>2.1604938271604937E-2</v>
      </c>
      <c r="F22" s="109">
        <v>923</v>
      </c>
      <c r="G22" s="116">
        <f t="shared" si="1"/>
        <v>7.5839653304442034E-2</v>
      </c>
      <c r="H22" s="109">
        <v>7417</v>
      </c>
      <c r="I22" s="116">
        <f t="shared" si="2"/>
        <v>-0.86611837670217073</v>
      </c>
      <c r="J22" s="109">
        <v>7634</v>
      </c>
      <c r="K22" s="109">
        <v>7732</v>
      </c>
      <c r="L22" s="116">
        <f t="shared" si="3"/>
        <v>-1.2674599068804967E-2</v>
      </c>
      <c r="M22" s="109">
        <v>7584</v>
      </c>
      <c r="N22" s="116">
        <f t="shared" si="4"/>
        <v>6.5928270042194094E-3</v>
      </c>
      <c r="O22" s="109">
        <v>7417</v>
      </c>
      <c r="P22" s="116">
        <f t="shared" ref="P22:P24" si="72">(J22-O22)/O22</f>
        <v>2.9257112039908318E-2</v>
      </c>
      <c r="Q22" s="116">
        <f t="shared" ref="Q22:Q23" si="73">(D22/J22)</f>
        <v>0.13007597589730155</v>
      </c>
      <c r="R22" s="116">
        <f t="shared" ref="R22:R23" si="74">(C22/K22)</f>
        <v>0.12571132953957578</v>
      </c>
      <c r="S22" s="116">
        <f t="shared" ref="S22:S23" si="75">Q22-R22</f>
        <v>4.3646463577257655E-3</v>
      </c>
      <c r="T22" s="116">
        <f t="shared" ref="T22:T23" si="76">(F22/M22)</f>
        <v>0.1217035864978903</v>
      </c>
      <c r="U22" s="116">
        <f t="shared" ref="U22:U23" si="77">Q22-T22</f>
        <v>8.372389399411248E-3</v>
      </c>
      <c r="V22" s="116">
        <f t="shared" ref="V22:V23" si="78">H22/O22</f>
        <v>1</v>
      </c>
      <c r="W22" s="116">
        <f t="shared" ref="W22:W23" si="79">Q22-V22</f>
        <v>-0.86992402410269842</v>
      </c>
      <c r="X22" s="84">
        <v>0.1875</v>
      </c>
      <c r="Y22" s="84">
        <v>0.17516001024065542</v>
      </c>
      <c r="Z22" s="80">
        <v>0.48936170212765956</v>
      </c>
      <c r="AA22" s="140">
        <v>0.40820913443178047</v>
      </c>
    </row>
    <row r="23" spans="1:27" s="55" customFormat="1" ht="16" x14ac:dyDescent="0.2">
      <c r="A23" s="73">
        <v>41</v>
      </c>
      <c r="B23" s="45" t="s">
        <v>49</v>
      </c>
      <c r="C23" s="109">
        <v>2269</v>
      </c>
      <c r="D23" s="109">
        <v>2272</v>
      </c>
      <c r="E23" s="116">
        <f t="shared" si="0"/>
        <v>1.3221683561040105E-3</v>
      </c>
      <c r="F23" s="109">
        <v>1996</v>
      </c>
      <c r="G23" s="116">
        <f t="shared" si="1"/>
        <v>0.13827655310621242</v>
      </c>
      <c r="H23" s="109">
        <v>1636</v>
      </c>
      <c r="I23" s="116">
        <f t="shared" si="2"/>
        <v>0.38875305623471884</v>
      </c>
      <c r="J23" s="109">
        <v>25120</v>
      </c>
      <c r="K23" s="109">
        <v>24891</v>
      </c>
      <c r="L23" s="116">
        <f t="shared" si="3"/>
        <v>9.2001124904583995E-3</v>
      </c>
      <c r="M23" s="109">
        <v>25538</v>
      </c>
      <c r="N23" s="116">
        <f t="shared" si="4"/>
        <v>-1.6367765682512334E-2</v>
      </c>
      <c r="O23" s="109">
        <v>25588</v>
      </c>
      <c r="P23" s="116">
        <f t="shared" si="72"/>
        <v>-1.8289823354697515E-2</v>
      </c>
      <c r="Q23" s="116">
        <f t="shared" si="73"/>
        <v>9.0445859872611459E-2</v>
      </c>
      <c r="R23" s="116">
        <f t="shared" si="74"/>
        <v>9.115744646659435E-2</v>
      </c>
      <c r="S23" s="116">
        <f t="shared" si="75"/>
        <v>-7.1158659398289081E-4</v>
      </c>
      <c r="T23" s="116">
        <f t="shared" si="76"/>
        <v>7.8158039000704838E-2</v>
      </c>
      <c r="U23" s="116">
        <f t="shared" si="77"/>
        <v>1.2287820871906621E-2</v>
      </c>
      <c r="V23" s="116">
        <f t="shared" si="78"/>
        <v>6.3936220103173361E-2</v>
      </c>
      <c r="W23" s="116">
        <f t="shared" si="79"/>
        <v>2.6509639769438098E-2</v>
      </c>
      <c r="X23" s="84">
        <v>0.2544642857142857</v>
      </c>
      <c r="Y23" s="84">
        <v>0.22198482196758323</v>
      </c>
      <c r="Z23" s="80">
        <v>0.47938144329896909</v>
      </c>
      <c r="AA23" s="140">
        <v>0.49616422690246242</v>
      </c>
    </row>
    <row r="24" spans="1:27" s="55" customFormat="1" ht="16" x14ac:dyDescent="0.2">
      <c r="A24" s="73">
        <v>42</v>
      </c>
      <c r="B24" s="45" t="s">
        <v>50</v>
      </c>
      <c r="C24" s="109">
        <v>1536</v>
      </c>
      <c r="D24" s="109">
        <v>1569</v>
      </c>
      <c r="E24" s="116">
        <f t="shared" si="0"/>
        <v>2.1484375E-2</v>
      </c>
      <c r="F24" s="109">
        <v>1452</v>
      </c>
      <c r="G24" s="116">
        <f t="shared" si="1"/>
        <v>8.057851239669421E-2</v>
      </c>
      <c r="H24" s="109">
        <v>1425</v>
      </c>
      <c r="I24" s="116">
        <f t="shared" si="2"/>
        <v>0.10105263157894737</v>
      </c>
      <c r="J24" s="109">
        <v>15036</v>
      </c>
      <c r="K24" s="109">
        <v>14999</v>
      </c>
      <c r="L24" s="116">
        <f t="shared" si="3"/>
        <v>2.4668311220748052E-3</v>
      </c>
      <c r="M24" s="109">
        <v>15188</v>
      </c>
      <c r="N24" s="116">
        <f t="shared" si="4"/>
        <v>-1.0007900974453516E-2</v>
      </c>
      <c r="O24" s="109">
        <v>15515</v>
      </c>
      <c r="P24" s="116">
        <f t="shared" si="72"/>
        <v>-3.08733483725427E-2</v>
      </c>
      <c r="Q24" s="116">
        <f t="shared" ref="Q24" si="80">(D24/J24)</f>
        <v>0.10434956105347166</v>
      </c>
      <c r="R24" s="116">
        <f t="shared" ref="R24" si="81">(C24/K24)</f>
        <v>0.10240682712180812</v>
      </c>
      <c r="S24" s="116">
        <f t="shared" ref="S24" si="82">Q24-R24</f>
        <v>1.94273393166354E-3</v>
      </c>
      <c r="T24" s="116">
        <f t="shared" ref="T24" si="83">(F24/M24)</f>
        <v>9.5601790887542795E-2</v>
      </c>
      <c r="U24" s="116">
        <f t="shared" ref="U24" si="84">Q24-T24</f>
        <v>8.7477701659288698E-3</v>
      </c>
      <c r="V24" s="116">
        <f t="shared" ref="V24" si="85">H24/O24</f>
        <v>9.1846600064453748E-2</v>
      </c>
      <c r="W24" s="116">
        <f t="shared" ref="W24" si="86">Q24-V24</f>
        <v>1.2502960989017917E-2</v>
      </c>
      <c r="X24" s="84">
        <v>0.13294797687861271</v>
      </c>
      <c r="Y24" s="84">
        <v>0.15560395146982003</v>
      </c>
      <c r="Z24" s="80">
        <v>0.64102564102564108</v>
      </c>
      <c r="AA24" s="140">
        <v>0.58666343149716138</v>
      </c>
    </row>
    <row r="25" spans="1:27" s="55" customFormat="1" ht="16" x14ac:dyDescent="0.2">
      <c r="A25" s="73">
        <v>43</v>
      </c>
      <c r="B25" s="45" t="s">
        <v>51</v>
      </c>
      <c r="C25" s="109">
        <v>3824</v>
      </c>
      <c r="D25" s="109">
        <v>3960</v>
      </c>
      <c r="E25" s="116">
        <f t="shared" si="0"/>
        <v>3.5564853556485358E-2</v>
      </c>
      <c r="F25" s="53">
        <v>3031</v>
      </c>
      <c r="G25" s="116">
        <f t="shared" si="1"/>
        <v>0.30649950511382384</v>
      </c>
      <c r="H25" s="109">
        <v>2398</v>
      </c>
      <c r="I25" s="116">
        <f t="shared" si="2"/>
        <v>0.65137614678899081</v>
      </c>
      <c r="J25" s="53">
        <v>33033</v>
      </c>
      <c r="K25" s="109">
        <v>32961</v>
      </c>
      <c r="L25" s="116">
        <f t="shared" si="3"/>
        <v>2.1843997451533631E-3</v>
      </c>
      <c r="M25" s="109">
        <v>33610</v>
      </c>
      <c r="N25" s="116">
        <f t="shared" si="4"/>
        <v>-1.7167509669741149E-2</v>
      </c>
      <c r="O25" s="53">
        <v>32344</v>
      </c>
      <c r="P25" s="116">
        <f t="shared" ref="P25:P62" si="87">(J25-O25)/O25</f>
        <v>2.130225080385852E-2</v>
      </c>
      <c r="Q25" s="116">
        <f t="shared" ref="Q25:Q62" si="88">(D25/J25)</f>
        <v>0.11988011988011989</v>
      </c>
      <c r="R25" s="116">
        <f t="shared" ref="R25:R62" si="89">(C25/K25)</f>
        <v>0.11601589757592307</v>
      </c>
      <c r="S25" s="116">
        <f t="shared" ref="S25:S62" si="90">Q25-R25</f>
        <v>3.864222304196821E-3</v>
      </c>
      <c r="T25" s="116">
        <f t="shared" ref="T25:T62" si="91">(F25/M25)</f>
        <v>9.0181493603094312E-2</v>
      </c>
      <c r="U25" s="116">
        <f t="shared" ref="U25:U62" si="92">Q25-T25</f>
        <v>2.9698626277025575E-2</v>
      </c>
      <c r="V25" s="116">
        <f t="shared" ref="V25:V62" si="93">H25/O25</f>
        <v>7.4140489735345039E-2</v>
      </c>
      <c r="W25" s="116">
        <f t="shared" ref="W25:W62" si="94">Q25-V25</f>
        <v>4.5739630144774848E-2</v>
      </c>
      <c r="X25" s="84">
        <v>0.21288515406162464</v>
      </c>
      <c r="Y25" s="84">
        <v>0.18900526580596705</v>
      </c>
      <c r="Z25" s="80">
        <v>0.30175438596491228</v>
      </c>
      <c r="AA25" s="140">
        <v>0.36094322332604745</v>
      </c>
    </row>
    <row r="26" spans="1:27" s="55" customFormat="1" ht="16" x14ac:dyDescent="0.2">
      <c r="A26" s="73">
        <v>44</v>
      </c>
      <c r="B26" s="45" t="s">
        <v>52</v>
      </c>
      <c r="C26" s="109">
        <v>2487</v>
      </c>
      <c r="D26" s="109">
        <v>2529</v>
      </c>
      <c r="E26" s="116">
        <f t="shared" si="0"/>
        <v>1.6887816646562123E-2</v>
      </c>
      <c r="F26" s="53">
        <v>2391</v>
      </c>
      <c r="G26" s="116">
        <f t="shared" si="1"/>
        <v>5.7716436637390213E-2</v>
      </c>
      <c r="H26" s="109">
        <v>2010</v>
      </c>
      <c r="I26" s="116">
        <f t="shared" si="2"/>
        <v>0.2582089552238806</v>
      </c>
      <c r="J26" s="53">
        <v>16017</v>
      </c>
      <c r="K26" s="109">
        <v>16176</v>
      </c>
      <c r="L26" s="116">
        <f t="shared" si="3"/>
        <v>-9.8293768545994059E-3</v>
      </c>
      <c r="M26" s="109">
        <v>16211</v>
      </c>
      <c r="N26" s="116">
        <f t="shared" si="4"/>
        <v>-1.1967182777126642E-2</v>
      </c>
      <c r="O26" s="53">
        <v>17705</v>
      </c>
      <c r="P26" s="116">
        <f t="shared" si="87"/>
        <v>-9.5340299350465965E-2</v>
      </c>
      <c r="Q26" s="116">
        <f t="shared" si="88"/>
        <v>0.15789473684210525</v>
      </c>
      <c r="R26" s="116">
        <f t="shared" si="89"/>
        <v>0.15374629080118693</v>
      </c>
      <c r="S26" s="116">
        <f t="shared" si="90"/>
        <v>4.1484460409183244E-3</v>
      </c>
      <c r="T26" s="116">
        <f t="shared" si="91"/>
        <v>0.14749244340262785</v>
      </c>
      <c r="U26" s="116">
        <f t="shared" si="92"/>
        <v>1.0402293439477406E-2</v>
      </c>
      <c r="V26" s="116">
        <f t="shared" si="93"/>
        <v>0.11352725218864727</v>
      </c>
      <c r="W26" s="116">
        <f t="shared" si="94"/>
        <v>4.4367484653457981E-2</v>
      </c>
      <c r="X26" s="84">
        <v>0.16888888888888889</v>
      </c>
      <c r="Y26" s="84">
        <v>0.13255297019891915</v>
      </c>
      <c r="Z26" s="80">
        <v>0.38425925925925924</v>
      </c>
      <c r="AA26" s="140">
        <v>0.30191730655052468</v>
      </c>
    </row>
    <row r="27" spans="1:27" s="55" customFormat="1" ht="16" x14ac:dyDescent="0.2">
      <c r="A27" s="73">
        <v>45</v>
      </c>
      <c r="B27" s="45" t="s">
        <v>53</v>
      </c>
      <c r="C27" s="109">
        <v>995</v>
      </c>
      <c r="D27" s="109">
        <v>1029</v>
      </c>
      <c r="E27" s="116">
        <f t="shared" si="0"/>
        <v>3.4170854271356785E-2</v>
      </c>
      <c r="F27" s="53">
        <v>894</v>
      </c>
      <c r="G27" s="116">
        <f t="shared" si="1"/>
        <v>0.15100671140939598</v>
      </c>
      <c r="H27" s="109">
        <v>783</v>
      </c>
      <c r="I27" s="116">
        <f t="shared" si="2"/>
        <v>0.31417624521072796</v>
      </c>
      <c r="J27" s="53">
        <v>7293</v>
      </c>
      <c r="K27" s="109">
        <v>7292</v>
      </c>
      <c r="L27" s="116">
        <f t="shared" si="3"/>
        <v>1.3713658804168953E-4</v>
      </c>
      <c r="M27" s="109">
        <v>7203</v>
      </c>
      <c r="N27" s="116">
        <f t="shared" si="4"/>
        <v>1.2494793835901708E-2</v>
      </c>
      <c r="O27" s="53">
        <v>6798</v>
      </c>
      <c r="P27" s="116">
        <f t="shared" si="87"/>
        <v>7.281553398058252E-2</v>
      </c>
      <c r="Q27" s="116">
        <f t="shared" si="88"/>
        <v>0.14109419991772934</v>
      </c>
      <c r="R27" s="116">
        <f t="shared" si="89"/>
        <v>0.13645090510148108</v>
      </c>
      <c r="S27" s="116">
        <f t="shared" si="90"/>
        <v>4.6432948162482557E-3</v>
      </c>
      <c r="T27" s="116">
        <f t="shared" si="91"/>
        <v>0.12411495210329029</v>
      </c>
      <c r="U27" s="116">
        <f t="shared" si="92"/>
        <v>1.6979247814439047E-2</v>
      </c>
      <c r="V27" s="116">
        <f t="shared" si="93"/>
        <v>0.11518093556928509</v>
      </c>
      <c r="W27" s="116">
        <f t="shared" si="94"/>
        <v>2.5913264348444251E-2</v>
      </c>
      <c r="X27" s="84">
        <v>0.14457831325301204</v>
      </c>
      <c r="Y27" s="84">
        <v>8.8795033785218913E-2</v>
      </c>
      <c r="Z27" s="80">
        <v>0.40697674418604651</v>
      </c>
      <c r="AA27" s="140">
        <v>0.48723204066678782</v>
      </c>
    </row>
    <row r="28" spans="1:27" s="58" customFormat="1" ht="16" x14ac:dyDescent="0.2">
      <c r="A28" s="81">
        <v>46</v>
      </c>
      <c r="B28" s="59" t="s">
        <v>10</v>
      </c>
      <c r="C28" s="111"/>
      <c r="D28" s="111"/>
      <c r="E28" s="128"/>
      <c r="F28" s="131"/>
      <c r="G28" s="128"/>
      <c r="H28" s="111"/>
      <c r="I28" s="128"/>
      <c r="J28" s="128"/>
      <c r="K28" s="111"/>
      <c r="L28" s="128"/>
      <c r="M28" s="111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67"/>
      <c r="Y28" s="67"/>
      <c r="Z28" s="65"/>
      <c r="AA28" s="144"/>
    </row>
    <row r="29" spans="1:27" s="55" customFormat="1" ht="51" x14ac:dyDescent="0.2">
      <c r="A29" s="73">
        <v>47</v>
      </c>
      <c r="B29" s="45" t="s">
        <v>54</v>
      </c>
      <c r="C29" s="109">
        <v>122</v>
      </c>
      <c r="D29" s="109">
        <v>141</v>
      </c>
      <c r="E29" s="116">
        <f t="shared" si="0"/>
        <v>0.15573770491803279</v>
      </c>
      <c r="F29" s="53">
        <v>18</v>
      </c>
      <c r="G29" s="116">
        <f t="shared" si="1"/>
        <v>6.833333333333333</v>
      </c>
      <c r="H29" s="109"/>
      <c r="I29" s="116"/>
      <c r="J29" s="53">
        <v>2096</v>
      </c>
      <c r="K29" s="109">
        <v>2029</v>
      </c>
      <c r="L29" s="116">
        <f t="shared" si="3"/>
        <v>3.3021192705766388E-2</v>
      </c>
      <c r="M29" s="109">
        <v>2212</v>
      </c>
      <c r="N29" s="116">
        <f t="shared" si="4"/>
        <v>-5.2441229656419529E-2</v>
      </c>
      <c r="O29" s="53">
        <v>2582</v>
      </c>
      <c r="P29" s="116">
        <f t="shared" si="87"/>
        <v>-0.1882261812548412</v>
      </c>
      <c r="Q29" s="116">
        <f t="shared" si="88"/>
        <v>6.7270992366412208E-2</v>
      </c>
      <c r="R29" s="116">
        <f t="shared" si="89"/>
        <v>6.0128141941843273E-2</v>
      </c>
      <c r="S29" s="116">
        <f t="shared" si="90"/>
        <v>7.1428504245689348E-3</v>
      </c>
      <c r="T29" s="116">
        <f t="shared" si="91"/>
        <v>8.1374321880651E-3</v>
      </c>
      <c r="U29" s="116">
        <f t="shared" si="92"/>
        <v>5.913356017834711E-2</v>
      </c>
      <c r="V29" s="116">
        <f t="shared" si="93"/>
        <v>0</v>
      </c>
      <c r="W29" s="116">
        <f t="shared" si="94"/>
        <v>6.7270992366412208E-2</v>
      </c>
      <c r="X29" s="100">
        <v>-0.15</v>
      </c>
      <c r="Y29" s="72" t="s">
        <v>118</v>
      </c>
      <c r="Z29" s="92"/>
      <c r="AA29" s="142"/>
    </row>
    <row r="30" spans="1:27" s="55" customFormat="1" ht="16" x14ac:dyDescent="0.2">
      <c r="A30" s="73">
        <v>48</v>
      </c>
      <c r="B30" s="45" t="s">
        <v>55</v>
      </c>
      <c r="C30" s="109">
        <v>802</v>
      </c>
      <c r="D30" s="109">
        <v>927</v>
      </c>
      <c r="E30" s="116">
        <f t="shared" si="0"/>
        <v>0.15586034912718205</v>
      </c>
      <c r="F30" s="83">
        <v>377</v>
      </c>
      <c r="G30" s="116">
        <f t="shared" si="1"/>
        <v>1.4588859416445623</v>
      </c>
      <c r="H30" s="83">
        <v>270</v>
      </c>
      <c r="I30" s="116">
        <f t="shared" si="2"/>
        <v>2.4333333333333331</v>
      </c>
      <c r="J30" s="53">
        <v>4919</v>
      </c>
      <c r="K30" s="109">
        <v>4824</v>
      </c>
      <c r="L30" s="116">
        <f t="shared" si="3"/>
        <v>1.9693200663349918E-2</v>
      </c>
      <c r="M30" s="109">
        <v>4245</v>
      </c>
      <c r="N30" s="116">
        <f t="shared" si="4"/>
        <v>0.15877502944640753</v>
      </c>
      <c r="O30" s="53">
        <v>4436</v>
      </c>
      <c r="P30" s="116">
        <f t="shared" si="87"/>
        <v>0.10888187556357079</v>
      </c>
      <c r="Q30" s="116">
        <f t="shared" si="88"/>
        <v>0.18845293758894086</v>
      </c>
      <c r="R30" s="116">
        <f t="shared" si="89"/>
        <v>0.16625207296849087</v>
      </c>
      <c r="S30" s="116">
        <f t="shared" si="90"/>
        <v>2.2200864620449984E-2</v>
      </c>
      <c r="T30" s="116">
        <f t="shared" si="91"/>
        <v>8.881036513545347E-2</v>
      </c>
      <c r="U30" s="116">
        <f t="shared" si="92"/>
        <v>9.9642572453487385E-2</v>
      </c>
      <c r="V30" s="116">
        <f t="shared" si="93"/>
        <v>6.0865644724977457E-2</v>
      </c>
      <c r="W30" s="116">
        <f t="shared" si="94"/>
        <v>0.12758729286396339</v>
      </c>
      <c r="X30" s="100"/>
      <c r="Y30" s="100"/>
      <c r="Z30" s="80">
        <v>0.47540983606557374</v>
      </c>
      <c r="AA30" s="140">
        <v>0.62255904902053993</v>
      </c>
    </row>
    <row r="31" spans="1:27" s="55" customFormat="1" ht="16" x14ac:dyDescent="0.2">
      <c r="A31" s="73">
        <v>49</v>
      </c>
      <c r="B31" s="45" t="s">
        <v>13</v>
      </c>
      <c r="C31" s="109"/>
      <c r="D31" s="109"/>
      <c r="E31" s="116"/>
      <c r="F31" s="116"/>
      <c r="G31" s="116"/>
      <c r="H31" s="109"/>
      <c r="I31" s="116"/>
      <c r="J31" s="116"/>
      <c r="K31" s="109"/>
      <c r="L31" s="116"/>
      <c r="M31" s="109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84"/>
      <c r="Y31" s="84"/>
      <c r="Z31" s="80"/>
      <c r="AA31" s="141"/>
    </row>
    <row r="32" spans="1:27" s="55" customFormat="1" ht="16" x14ac:dyDescent="0.2">
      <c r="A32" s="73">
        <v>50</v>
      </c>
      <c r="B32" s="45" t="s">
        <v>56</v>
      </c>
      <c r="C32" s="109">
        <v>24</v>
      </c>
      <c r="D32" s="109">
        <v>16</v>
      </c>
      <c r="E32" s="116">
        <f t="shared" si="0"/>
        <v>-0.33333333333333331</v>
      </c>
      <c r="F32" s="83">
        <v>33</v>
      </c>
      <c r="G32" s="116">
        <f t="shared" si="1"/>
        <v>-0.51515151515151514</v>
      </c>
      <c r="H32" s="89"/>
      <c r="I32" s="116"/>
      <c r="J32" s="53">
        <v>543</v>
      </c>
      <c r="K32" s="109">
        <v>554</v>
      </c>
      <c r="L32" s="116">
        <f t="shared" si="3"/>
        <v>-1.9855595667870037E-2</v>
      </c>
      <c r="M32" s="109">
        <v>655</v>
      </c>
      <c r="N32" s="116">
        <f t="shared" si="4"/>
        <v>-0.17099236641221374</v>
      </c>
      <c r="O32" s="137">
        <v>796</v>
      </c>
      <c r="P32" s="116">
        <f t="shared" si="87"/>
        <v>-0.31783919597989951</v>
      </c>
      <c r="Q32" s="116">
        <f t="shared" si="88"/>
        <v>2.9465930018416207E-2</v>
      </c>
      <c r="R32" s="116">
        <f t="shared" si="89"/>
        <v>4.3321299638989168E-2</v>
      </c>
      <c r="S32" s="116">
        <f t="shared" si="90"/>
        <v>-1.385536962057296E-2</v>
      </c>
      <c r="T32" s="116">
        <f t="shared" si="91"/>
        <v>5.0381679389312976E-2</v>
      </c>
      <c r="U32" s="116">
        <f t="shared" si="92"/>
        <v>-2.0915749370896769E-2</v>
      </c>
      <c r="V32" s="116">
        <f t="shared" si="93"/>
        <v>0</v>
      </c>
      <c r="W32" s="116">
        <f t="shared" si="94"/>
        <v>2.9465930018416207E-2</v>
      </c>
      <c r="X32" s="100"/>
      <c r="Y32" s="117"/>
      <c r="Z32" s="92"/>
      <c r="AA32" s="142"/>
    </row>
    <row r="33" spans="1:27" s="55" customFormat="1" ht="16" x14ac:dyDescent="0.2">
      <c r="A33" s="73">
        <v>51</v>
      </c>
      <c r="B33" s="45" t="s">
        <v>5</v>
      </c>
      <c r="C33" s="109"/>
      <c r="D33" s="109"/>
      <c r="E33" s="116"/>
      <c r="F33" s="116"/>
      <c r="G33" s="116"/>
      <c r="H33" s="109"/>
      <c r="I33" s="116"/>
      <c r="J33" s="116"/>
      <c r="K33" s="109"/>
      <c r="L33" s="116"/>
      <c r="M33" s="109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84"/>
      <c r="Y33" s="84"/>
      <c r="Z33" s="80"/>
      <c r="AA33" s="141"/>
    </row>
    <row r="34" spans="1:27" s="55" customFormat="1" ht="16" x14ac:dyDescent="0.2">
      <c r="A34" s="73">
        <v>52</v>
      </c>
      <c r="B34" s="45" t="s">
        <v>57</v>
      </c>
      <c r="C34" s="109">
        <v>196</v>
      </c>
      <c r="D34" s="109">
        <v>211</v>
      </c>
      <c r="E34" s="116">
        <f t="shared" si="0"/>
        <v>7.6530612244897961E-2</v>
      </c>
      <c r="F34" s="53">
        <v>162</v>
      </c>
      <c r="G34" s="116">
        <f t="shared" si="1"/>
        <v>0.30246913580246915</v>
      </c>
      <c r="H34" s="109">
        <v>152</v>
      </c>
      <c r="I34" s="116">
        <f t="shared" si="2"/>
        <v>0.38815789473684209</v>
      </c>
      <c r="J34" s="53">
        <v>1993</v>
      </c>
      <c r="K34" s="76">
        <v>2072</v>
      </c>
      <c r="L34" s="116">
        <f t="shared" si="3"/>
        <v>-3.8127413127413128E-2</v>
      </c>
      <c r="M34" s="76">
        <v>2232</v>
      </c>
      <c r="N34" s="116">
        <f t="shared" si="4"/>
        <v>-0.10707885304659498</v>
      </c>
      <c r="O34" s="53">
        <v>2682</v>
      </c>
      <c r="P34" s="116">
        <f t="shared" si="87"/>
        <v>-0.2568978374347502</v>
      </c>
      <c r="Q34" s="116">
        <f t="shared" si="88"/>
        <v>0.1058705469141997</v>
      </c>
      <c r="R34" s="116">
        <f t="shared" si="89"/>
        <v>9.45945945945946E-2</v>
      </c>
      <c r="S34" s="116">
        <f t="shared" si="90"/>
        <v>1.1275952319605098E-2</v>
      </c>
      <c r="T34" s="116">
        <f t="shared" si="91"/>
        <v>7.2580645161290328E-2</v>
      </c>
      <c r="U34" s="116">
        <f t="shared" si="92"/>
        <v>3.328990175290937E-2</v>
      </c>
      <c r="V34" s="116">
        <f t="shared" si="93"/>
        <v>5.6674123788217748E-2</v>
      </c>
      <c r="W34" s="116">
        <f t="shared" si="94"/>
        <v>4.919642312598195E-2</v>
      </c>
      <c r="X34" s="84">
        <v>4.7619047619047616E-2</v>
      </c>
      <c r="Y34" s="84">
        <v>0.29620365142104277</v>
      </c>
      <c r="Z34" s="72"/>
      <c r="AA34" s="140"/>
    </row>
    <row r="35" spans="1:27" s="120" customFormat="1" ht="17" x14ac:dyDescent="0.2">
      <c r="A35" s="73">
        <v>53</v>
      </c>
      <c r="B35" s="45" t="s">
        <v>6</v>
      </c>
      <c r="C35" s="109">
        <v>26</v>
      </c>
      <c r="D35" s="109">
        <v>25</v>
      </c>
      <c r="E35" s="116">
        <f t="shared" si="0"/>
        <v>-3.8461538461538464E-2</v>
      </c>
      <c r="F35" s="117" t="s">
        <v>110</v>
      </c>
      <c r="G35" s="116"/>
      <c r="H35" s="114" t="s">
        <v>110</v>
      </c>
      <c r="I35" s="117" t="s">
        <v>110</v>
      </c>
      <c r="J35" s="118">
        <v>2339</v>
      </c>
      <c r="K35" s="109">
        <v>2342</v>
      </c>
      <c r="L35" s="116">
        <f t="shared" si="3"/>
        <v>-1.2809564474807857E-3</v>
      </c>
      <c r="M35" s="109">
        <v>2579</v>
      </c>
      <c r="N35" s="116">
        <f t="shared" si="4"/>
        <v>-9.3059325319891431E-2</v>
      </c>
      <c r="O35" s="119">
        <v>2949</v>
      </c>
      <c r="P35" s="116">
        <f t="shared" si="87"/>
        <v>-0.20684977958630044</v>
      </c>
      <c r="Q35" s="116">
        <f t="shared" si="88"/>
        <v>1.0688328345446772E-2</v>
      </c>
      <c r="R35" s="116">
        <f t="shared" si="89"/>
        <v>1.1101622544833475E-2</v>
      </c>
      <c r="S35" s="116">
        <f t="shared" si="90"/>
        <v>-4.1329419938670314E-4</v>
      </c>
      <c r="T35" s="117" t="s">
        <v>110</v>
      </c>
      <c r="U35" s="117" t="s">
        <v>110</v>
      </c>
      <c r="V35" s="117" t="s">
        <v>110</v>
      </c>
      <c r="W35" s="117" t="s">
        <v>110</v>
      </c>
      <c r="X35" s="84" t="s">
        <v>110</v>
      </c>
      <c r="Y35" s="84" t="s">
        <v>110</v>
      </c>
      <c r="Z35" s="80"/>
      <c r="AA35" s="141"/>
    </row>
    <row r="36" spans="1:27" s="55" customFormat="1" ht="51" x14ac:dyDescent="0.2">
      <c r="A36" s="73">
        <v>54</v>
      </c>
      <c r="B36" s="45" t="s">
        <v>58</v>
      </c>
      <c r="C36" s="109">
        <v>198</v>
      </c>
      <c r="D36" s="109">
        <v>194</v>
      </c>
      <c r="E36" s="116">
        <f t="shared" si="0"/>
        <v>-2.0202020202020204E-2</v>
      </c>
      <c r="F36" s="53">
        <v>164</v>
      </c>
      <c r="G36" s="116">
        <f t="shared" si="1"/>
        <v>0.18292682926829268</v>
      </c>
      <c r="H36" s="109">
        <v>122</v>
      </c>
      <c r="I36" s="116">
        <f t="shared" si="2"/>
        <v>0.5901639344262295</v>
      </c>
      <c r="J36" s="53">
        <v>2011</v>
      </c>
      <c r="K36" s="109">
        <v>2066</v>
      </c>
      <c r="L36" s="116">
        <f t="shared" si="3"/>
        <v>-2.6621490803484995E-2</v>
      </c>
      <c r="M36" s="109">
        <v>2302</v>
      </c>
      <c r="N36" s="116">
        <f t="shared" si="4"/>
        <v>-0.1264118158123371</v>
      </c>
      <c r="O36" s="53">
        <v>2616</v>
      </c>
      <c r="P36" s="116">
        <f t="shared" si="87"/>
        <v>-0.23126911314984711</v>
      </c>
      <c r="Q36" s="116">
        <f t="shared" si="88"/>
        <v>9.6469418199900542E-2</v>
      </c>
      <c r="R36" s="116">
        <f t="shared" si="89"/>
        <v>9.5837366892545989E-2</v>
      </c>
      <c r="S36" s="116">
        <f t="shared" si="90"/>
        <v>6.3205130735455306E-4</v>
      </c>
      <c r="T36" s="116">
        <f t="shared" si="91"/>
        <v>7.1242397914856648E-2</v>
      </c>
      <c r="U36" s="116">
        <f t="shared" si="92"/>
        <v>2.5227020285043894E-2</v>
      </c>
      <c r="V36" s="116">
        <f t="shared" si="93"/>
        <v>4.6636085626911315E-2</v>
      </c>
      <c r="W36" s="116">
        <f t="shared" si="94"/>
        <v>4.9833332572989227E-2</v>
      </c>
      <c r="X36" s="84">
        <v>7.407407407407407E-2</v>
      </c>
      <c r="Y36" s="84">
        <v>7.4122174122174117E-2</v>
      </c>
      <c r="Z36" s="92"/>
      <c r="AA36" s="139" t="s">
        <v>118</v>
      </c>
    </row>
    <row r="37" spans="1:27" s="55" customFormat="1" ht="16" x14ac:dyDescent="0.2">
      <c r="A37" s="73">
        <v>57</v>
      </c>
      <c r="B37" s="45" t="s">
        <v>59</v>
      </c>
      <c r="C37" s="109">
        <v>1044</v>
      </c>
      <c r="D37" s="76">
        <v>1069</v>
      </c>
      <c r="E37" s="116">
        <f t="shared" si="0"/>
        <v>2.3946360153256706E-2</v>
      </c>
      <c r="F37" s="53">
        <v>822</v>
      </c>
      <c r="G37" s="116">
        <f t="shared" si="1"/>
        <v>0.3004866180048662</v>
      </c>
      <c r="H37" s="76">
        <v>661</v>
      </c>
      <c r="I37" s="116">
        <f t="shared" si="2"/>
        <v>0.61724659606656584</v>
      </c>
      <c r="J37" s="53">
        <v>13065</v>
      </c>
      <c r="K37" s="109">
        <v>12988</v>
      </c>
      <c r="L37" s="116">
        <f t="shared" si="3"/>
        <v>5.9285494302433019E-3</v>
      </c>
      <c r="M37" s="109">
        <v>13895</v>
      </c>
      <c r="N37" s="116">
        <f t="shared" si="4"/>
        <v>-5.9733717164447642E-2</v>
      </c>
      <c r="O37" s="53">
        <v>15688</v>
      </c>
      <c r="P37" s="116">
        <f t="shared" si="87"/>
        <v>-0.16719785823559408</v>
      </c>
      <c r="Q37" s="116">
        <f t="shared" si="88"/>
        <v>8.1821660926138531E-2</v>
      </c>
      <c r="R37" s="116">
        <f t="shared" si="89"/>
        <v>8.03818909762858E-2</v>
      </c>
      <c r="S37" s="116">
        <f t="shared" si="90"/>
        <v>1.4397699498527317E-3</v>
      </c>
      <c r="T37" s="116">
        <f t="shared" si="91"/>
        <v>5.9157970492983089E-2</v>
      </c>
      <c r="U37" s="116">
        <f t="shared" si="92"/>
        <v>2.2663690433155442E-2</v>
      </c>
      <c r="V37" s="116">
        <f t="shared" si="93"/>
        <v>4.2134115247322794E-2</v>
      </c>
      <c r="W37" s="116">
        <f t="shared" si="94"/>
        <v>3.9687545678815737E-2</v>
      </c>
      <c r="X37" s="84">
        <v>0.1650485436893204</v>
      </c>
      <c r="Y37" s="84">
        <v>0.2509918454725526</v>
      </c>
      <c r="Z37" s="80">
        <v>0.18867924528301888</v>
      </c>
      <c r="AA37" s="140">
        <v>0.30368393664731069</v>
      </c>
    </row>
    <row r="38" spans="1:27" s="55" customFormat="1" ht="16" x14ac:dyDescent="0.2">
      <c r="A38" s="73">
        <v>58</v>
      </c>
      <c r="B38" s="45" t="s">
        <v>60</v>
      </c>
      <c r="C38" s="109">
        <v>175</v>
      </c>
      <c r="D38" s="76">
        <v>203</v>
      </c>
      <c r="E38" s="116">
        <f t="shared" si="0"/>
        <v>0.16</v>
      </c>
      <c r="F38" s="53">
        <v>169</v>
      </c>
      <c r="G38" s="116">
        <f t="shared" si="1"/>
        <v>0.20118343195266272</v>
      </c>
      <c r="H38" s="76">
        <v>174</v>
      </c>
      <c r="I38" s="116">
        <f t="shared" si="2"/>
        <v>0.16666666666666666</v>
      </c>
      <c r="J38" s="53">
        <v>2354</v>
      </c>
      <c r="K38" s="109">
        <v>2263</v>
      </c>
      <c r="L38" s="116">
        <f t="shared" si="3"/>
        <v>4.0212107821475919E-2</v>
      </c>
      <c r="M38" s="109">
        <v>2658</v>
      </c>
      <c r="N38" s="116">
        <f t="shared" si="4"/>
        <v>-0.1143717080511663</v>
      </c>
      <c r="O38" s="53">
        <v>2718</v>
      </c>
      <c r="P38" s="116">
        <f t="shared" si="87"/>
        <v>-0.13392200147167035</v>
      </c>
      <c r="Q38" s="116">
        <f t="shared" si="88"/>
        <v>8.6236193712829229E-2</v>
      </c>
      <c r="R38" s="116">
        <f t="shared" si="89"/>
        <v>7.7330976579761374E-2</v>
      </c>
      <c r="S38" s="116">
        <f t="shared" si="90"/>
        <v>8.9052171330678553E-3</v>
      </c>
      <c r="T38" s="116">
        <f t="shared" si="91"/>
        <v>6.3581640331075995E-2</v>
      </c>
      <c r="U38" s="116">
        <f t="shared" si="92"/>
        <v>2.2654553381753234E-2</v>
      </c>
      <c r="V38" s="116">
        <f t="shared" si="93"/>
        <v>6.4017660044150104E-2</v>
      </c>
      <c r="W38" s="116">
        <f t="shared" si="94"/>
        <v>2.2218533668679125E-2</v>
      </c>
      <c r="X38" s="84">
        <v>0.1</v>
      </c>
      <c r="Y38" s="84">
        <v>0.19098972922502333</v>
      </c>
      <c r="Z38" s="80"/>
      <c r="AA38" s="140"/>
    </row>
    <row r="39" spans="1:27" s="55" customFormat="1" ht="16.5" customHeight="1" x14ac:dyDescent="0.2">
      <c r="A39" s="73">
        <v>59</v>
      </c>
      <c r="B39" s="45" t="s">
        <v>61</v>
      </c>
      <c r="C39" s="109">
        <v>388</v>
      </c>
      <c r="D39" s="76">
        <v>369</v>
      </c>
      <c r="E39" s="116">
        <f t="shared" si="0"/>
        <v>-4.8969072164948453E-2</v>
      </c>
      <c r="F39" s="83">
        <v>381</v>
      </c>
      <c r="G39" s="116">
        <f t="shared" si="1"/>
        <v>-3.1496062992125984E-2</v>
      </c>
      <c r="H39" s="83">
        <v>398</v>
      </c>
      <c r="I39" s="116">
        <f t="shared" si="2"/>
        <v>-7.2864321608040197E-2</v>
      </c>
      <c r="J39" s="53">
        <v>3442</v>
      </c>
      <c r="K39" s="76">
        <v>3444</v>
      </c>
      <c r="L39" s="116">
        <f t="shared" si="3"/>
        <v>-5.8072009291521487E-4</v>
      </c>
      <c r="M39" s="76">
        <v>3853</v>
      </c>
      <c r="N39" s="116">
        <f t="shared" si="4"/>
        <v>-0.10667012717363093</v>
      </c>
      <c r="O39" s="53">
        <v>4570</v>
      </c>
      <c r="P39" s="116">
        <f t="shared" si="87"/>
        <v>-0.24682713347921226</v>
      </c>
      <c r="Q39" s="116">
        <f t="shared" si="88"/>
        <v>0.10720511330621732</v>
      </c>
      <c r="R39" s="116">
        <f t="shared" si="89"/>
        <v>0.11265969802555169</v>
      </c>
      <c r="S39" s="116">
        <f t="shared" si="90"/>
        <v>-5.4545847193343683E-3</v>
      </c>
      <c r="T39" s="116">
        <f t="shared" si="91"/>
        <v>9.8883986504022844E-2</v>
      </c>
      <c r="U39" s="116">
        <f t="shared" si="92"/>
        <v>8.3211268021944756E-3</v>
      </c>
      <c r="V39" s="116">
        <f t="shared" si="93"/>
        <v>8.7089715536105033E-2</v>
      </c>
      <c r="W39" s="116">
        <f t="shared" si="94"/>
        <v>2.0115397770112287E-2</v>
      </c>
      <c r="X39" s="84">
        <v>0.4375</v>
      </c>
      <c r="Y39" s="84">
        <v>0.36251270501270505</v>
      </c>
      <c r="Z39" s="80">
        <v>0.38461538461538464</v>
      </c>
      <c r="AA39" s="140">
        <v>0.5003285680369014</v>
      </c>
    </row>
    <row r="40" spans="1:27" s="55" customFormat="1" ht="16" x14ac:dyDescent="0.2">
      <c r="A40" s="73">
        <v>60</v>
      </c>
      <c r="B40" s="45" t="s">
        <v>62</v>
      </c>
      <c r="C40" s="109">
        <v>361</v>
      </c>
      <c r="D40" s="109">
        <v>383</v>
      </c>
      <c r="E40" s="116">
        <f t="shared" si="0"/>
        <v>6.0941828254847646E-2</v>
      </c>
      <c r="F40" s="83">
        <v>339</v>
      </c>
      <c r="G40" s="116">
        <f t="shared" si="1"/>
        <v>0.12979351032448377</v>
      </c>
      <c r="H40" s="93" t="s">
        <v>85</v>
      </c>
      <c r="I40" s="116"/>
      <c r="J40" s="53">
        <v>6180</v>
      </c>
      <c r="K40" s="109">
        <v>6265</v>
      </c>
      <c r="L40" s="116">
        <f t="shared" si="3"/>
        <v>-1.3567438148443736E-2</v>
      </c>
      <c r="M40" s="109">
        <v>5742</v>
      </c>
      <c r="N40" s="116">
        <f t="shared" si="4"/>
        <v>7.6280041797283177E-2</v>
      </c>
      <c r="O40" s="53">
        <v>5934</v>
      </c>
      <c r="P40" s="116">
        <f t="shared" si="87"/>
        <v>4.1456016177957536E-2</v>
      </c>
      <c r="Q40" s="116">
        <f t="shared" si="88"/>
        <v>6.1974110032362459E-2</v>
      </c>
      <c r="R40" s="116">
        <f t="shared" si="89"/>
        <v>5.762170790103751E-2</v>
      </c>
      <c r="S40" s="116">
        <f t="shared" si="90"/>
        <v>4.3524021313249492E-3</v>
      </c>
      <c r="T40" s="116">
        <f t="shared" si="91"/>
        <v>5.9038662486938349E-2</v>
      </c>
      <c r="U40" s="116">
        <f t="shared" si="92"/>
        <v>2.9354475454241094E-3</v>
      </c>
      <c r="V40" s="116"/>
      <c r="W40" s="116"/>
      <c r="X40" s="84">
        <v>2.7777777777777776E-2</v>
      </c>
      <c r="Y40" s="84">
        <v>0.2836364115766109</v>
      </c>
      <c r="Z40" s="80">
        <v>0.40909090909090912</v>
      </c>
      <c r="AA40" s="140">
        <v>0.61258665290923353</v>
      </c>
    </row>
    <row r="41" spans="1:27" s="55" customFormat="1" ht="16" x14ac:dyDescent="0.2">
      <c r="A41" s="73">
        <v>61</v>
      </c>
      <c r="B41" s="45" t="s">
        <v>63</v>
      </c>
      <c r="C41" s="109">
        <v>3806</v>
      </c>
      <c r="D41" s="109">
        <v>3807</v>
      </c>
      <c r="E41" s="116">
        <f t="shared" si="0"/>
        <v>2.6274303730951129E-4</v>
      </c>
      <c r="F41" s="83">
        <v>3306</v>
      </c>
      <c r="G41" s="116">
        <f t="shared" si="1"/>
        <v>0.15154264972776771</v>
      </c>
      <c r="H41" s="83">
        <v>2576</v>
      </c>
      <c r="I41" s="116">
        <f t="shared" si="2"/>
        <v>0.47787267080745344</v>
      </c>
      <c r="J41" s="53">
        <v>20002</v>
      </c>
      <c r="K41" s="109">
        <v>19715</v>
      </c>
      <c r="L41" s="116">
        <f t="shared" si="3"/>
        <v>1.4557443570885113E-2</v>
      </c>
      <c r="M41" s="109">
        <v>19878</v>
      </c>
      <c r="N41" s="116">
        <f t="shared" si="4"/>
        <v>6.238052117919308E-3</v>
      </c>
      <c r="O41" s="53">
        <v>20587</v>
      </c>
      <c r="P41" s="116">
        <f t="shared" si="87"/>
        <v>-2.8415990673726139E-2</v>
      </c>
      <c r="Q41" s="116">
        <f t="shared" si="88"/>
        <v>0.19033096690330967</v>
      </c>
      <c r="R41" s="116">
        <f t="shared" si="89"/>
        <v>0.19305097641389804</v>
      </c>
      <c r="S41" s="116">
        <f t="shared" si="90"/>
        <v>-2.7200095105883726E-3</v>
      </c>
      <c r="T41" s="116">
        <f t="shared" si="91"/>
        <v>0.16631451856323573</v>
      </c>
      <c r="U41" s="116">
        <f t="shared" si="92"/>
        <v>2.4016448340073937E-2</v>
      </c>
      <c r="V41" s="116">
        <f t="shared" si="93"/>
        <v>0.12512750765045902</v>
      </c>
      <c r="W41" s="116">
        <f t="shared" si="94"/>
        <v>6.5203459252850648E-2</v>
      </c>
      <c r="X41" s="84">
        <v>0.20911528150134048</v>
      </c>
      <c r="Y41" s="117">
        <v>0.22160369744215508</v>
      </c>
      <c r="Z41" s="80">
        <v>0.35374149659863946</v>
      </c>
      <c r="AA41" s="140">
        <v>0.41526187693784106</v>
      </c>
    </row>
    <row r="42" spans="1:27" s="55" customFormat="1" ht="16" x14ac:dyDescent="0.2">
      <c r="A42" s="73">
        <v>62</v>
      </c>
      <c r="B42" s="45" t="s">
        <v>64</v>
      </c>
      <c r="C42" s="109">
        <v>1237</v>
      </c>
      <c r="D42" s="109">
        <v>1278</v>
      </c>
      <c r="E42" s="116">
        <f t="shared" si="0"/>
        <v>3.3144704931285365E-2</v>
      </c>
      <c r="F42" s="83">
        <v>921</v>
      </c>
      <c r="G42" s="116">
        <f t="shared" si="1"/>
        <v>0.38762214983713356</v>
      </c>
      <c r="H42" s="83">
        <v>545</v>
      </c>
      <c r="I42" s="116">
        <f t="shared" si="2"/>
        <v>1.344954128440367</v>
      </c>
      <c r="J42" s="53">
        <v>10934</v>
      </c>
      <c r="K42" s="109">
        <v>10222</v>
      </c>
      <c r="L42" s="116">
        <f t="shared" si="3"/>
        <v>6.9653688123654856E-2</v>
      </c>
      <c r="M42" s="109">
        <v>9630</v>
      </c>
      <c r="N42" s="116">
        <f t="shared" si="4"/>
        <v>0.13541017653167187</v>
      </c>
      <c r="O42" s="53">
        <v>9024</v>
      </c>
      <c r="P42" s="116">
        <f t="shared" si="87"/>
        <v>0.21165780141843971</v>
      </c>
      <c r="Q42" s="116">
        <f t="shared" si="88"/>
        <v>0.11688311688311688</v>
      </c>
      <c r="R42" s="116">
        <f t="shared" si="89"/>
        <v>0.12101350029348464</v>
      </c>
      <c r="S42" s="116">
        <f t="shared" si="90"/>
        <v>-4.130383410367755E-3</v>
      </c>
      <c r="T42" s="116">
        <f t="shared" si="91"/>
        <v>9.5638629283489096E-2</v>
      </c>
      <c r="U42" s="116">
        <f t="shared" si="92"/>
        <v>2.1244487599627784E-2</v>
      </c>
      <c r="V42" s="116">
        <f t="shared" si="93"/>
        <v>6.0394503546099293E-2</v>
      </c>
      <c r="W42" s="116">
        <f t="shared" si="94"/>
        <v>5.6488613337017587E-2</v>
      </c>
      <c r="X42" s="84">
        <v>0.15094339622641509</v>
      </c>
      <c r="Y42" s="84">
        <v>0.18534903828943303</v>
      </c>
      <c r="Z42" s="80">
        <v>0.31764705882352939</v>
      </c>
      <c r="AA42" s="140">
        <v>0.29100169234360412</v>
      </c>
    </row>
    <row r="43" spans="1:27" s="55" customFormat="1" ht="16" x14ac:dyDescent="0.2">
      <c r="A43" s="73">
        <v>63</v>
      </c>
      <c r="B43" s="45" t="s">
        <v>65</v>
      </c>
      <c r="C43" s="109">
        <v>904</v>
      </c>
      <c r="D43" s="109">
        <v>896</v>
      </c>
      <c r="E43" s="116">
        <f t="shared" si="0"/>
        <v>-8.8495575221238937E-3</v>
      </c>
      <c r="F43" s="83">
        <v>910</v>
      </c>
      <c r="G43" s="116">
        <f t="shared" si="1"/>
        <v>-1.5384615384615385E-2</v>
      </c>
      <c r="H43" s="83">
        <v>822</v>
      </c>
      <c r="I43" s="116">
        <f t="shared" si="2"/>
        <v>9.002433090024331E-2</v>
      </c>
      <c r="J43" s="53">
        <v>8155</v>
      </c>
      <c r="K43" s="109">
        <v>8914</v>
      </c>
      <c r="L43" s="116">
        <f t="shared" si="3"/>
        <v>-8.5146959838456354E-2</v>
      </c>
      <c r="M43" s="109">
        <v>10041</v>
      </c>
      <c r="N43" s="116">
        <f t="shared" si="4"/>
        <v>-0.18782989742057565</v>
      </c>
      <c r="O43" s="53">
        <v>8425</v>
      </c>
      <c r="P43" s="116">
        <f t="shared" si="87"/>
        <v>-3.2047477744807124E-2</v>
      </c>
      <c r="Q43" s="116">
        <f t="shared" si="88"/>
        <v>0.10987124463519313</v>
      </c>
      <c r="R43" s="116">
        <f t="shared" si="89"/>
        <v>0.10141350684316805</v>
      </c>
      <c r="S43" s="116">
        <f t="shared" si="90"/>
        <v>8.4577377920250774E-3</v>
      </c>
      <c r="T43" s="116">
        <f t="shared" si="91"/>
        <v>9.062842346379843E-2</v>
      </c>
      <c r="U43" s="116">
        <f t="shared" si="92"/>
        <v>1.9242821171394697E-2</v>
      </c>
      <c r="V43" s="116">
        <f t="shared" si="93"/>
        <v>9.7566765578635015E-2</v>
      </c>
      <c r="W43" s="116">
        <f t="shared" si="94"/>
        <v>1.2304479056558112E-2</v>
      </c>
      <c r="X43" s="84">
        <v>2.1505376344086023E-2</v>
      </c>
      <c r="Y43" s="84">
        <v>0.10625641610960694</v>
      </c>
      <c r="Z43" s="80"/>
      <c r="AA43" s="140">
        <v>0.47735242548217416</v>
      </c>
    </row>
    <row r="44" spans="1:27" s="55" customFormat="1" ht="17" x14ac:dyDescent="0.2">
      <c r="A44" s="73">
        <v>64</v>
      </c>
      <c r="B44" s="45" t="s">
        <v>66</v>
      </c>
      <c r="C44" s="109">
        <v>141</v>
      </c>
      <c r="D44" s="76">
        <v>143</v>
      </c>
      <c r="E44" s="116">
        <f t="shared" si="0"/>
        <v>1.4184397163120567E-2</v>
      </c>
      <c r="F44" s="113" t="s">
        <v>85</v>
      </c>
      <c r="G44" s="116"/>
      <c r="H44" s="83">
        <v>158</v>
      </c>
      <c r="I44" s="116">
        <f t="shared" si="2"/>
        <v>-9.49367088607595E-2</v>
      </c>
      <c r="J44" s="53">
        <v>1784</v>
      </c>
      <c r="K44" s="109">
        <v>1779</v>
      </c>
      <c r="L44" s="116">
        <f t="shared" si="3"/>
        <v>2.810567734682406E-3</v>
      </c>
      <c r="M44" s="109">
        <v>1768</v>
      </c>
      <c r="N44" s="116">
        <f t="shared" si="4"/>
        <v>9.0497737556561094E-3</v>
      </c>
      <c r="O44" s="53">
        <v>1652</v>
      </c>
      <c r="P44" s="116">
        <f t="shared" si="87"/>
        <v>7.990314769975787E-2</v>
      </c>
      <c r="Q44" s="116">
        <f t="shared" si="88"/>
        <v>8.0156950672645735E-2</v>
      </c>
      <c r="R44" s="116">
        <f t="shared" si="89"/>
        <v>7.9258010118043842E-2</v>
      </c>
      <c r="S44" s="116">
        <f t="shared" si="90"/>
        <v>8.9894055460189304E-4</v>
      </c>
      <c r="T44" s="116"/>
      <c r="U44" s="116"/>
      <c r="V44" s="116">
        <f t="shared" si="93"/>
        <v>9.5641646489104115E-2</v>
      </c>
      <c r="W44" s="116">
        <f t="shared" si="94"/>
        <v>-1.548469581645838E-2</v>
      </c>
      <c r="X44" s="100"/>
      <c r="Y44" s="100"/>
      <c r="Z44" s="80"/>
      <c r="AA44" s="140"/>
    </row>
    <row r="45" spans="1:27" s="55" customFormat="1" ht="16" x14ac:dyDescent="0.2">
      <c r="A45" s="73">
        <v>67</v>
      </c>
      <c r="B45" s="45" t="s">
        <v>67</v>
      </c>
      <c r="C45" s="109">
        <v>654</v>
      </c>
      <c r="D45" s="109">
        <v>680</v>
      </c>
      <c r="E45" s="116">
        <f t="shared" si="0"/>
        <v>3.9755351681957186E-2</v>
      </c>
      <c r="F45" s="76">
        <v>677</v>
      </c>
      <c r="G45" s="116">
        <f t="shared" si="1"/>
        <v>4.4313146233382573E-3</v>
      </c>
      <c r="H45" s="76">
        <v>545</v>
      </c>
      <c r="I45" s="116">
        <f t="shared" si="2"/>
        <v>0.24770642201834864</v>
      </c>
      <c r="J45" s="53">
        <v>5808</v>
      </c>
      <c r="K45" s="109">
        <v>5743</v>
      </c>
      <c r="L45" s="116">
        <f t="shared" si="3"/>
        <v>1.1318126414765801E-2</v>
      </c>
      <c r="M45" s="109">
        <v>6230</v>
      </c>
      <c r="N45" s="116">
        <f t="shared" si="4"/>
        <v>-6.773675762439807E-2</v>
      </c>
      <c r="O45" s="53">
        <v>7138</v>
      </c>
      <c r="P45" s="116">
        <f t="shared" si="87"/>
        <v>-0.18632670215746708</v>
      </c>
      <c r="Q45" s="116">
        <f t="shared" si="88"/>
        <v>0.11707988980716254</v>
      </c>
      <c r="R45" s="116">
        <f t="shared" si="89"/>
        <v>0.11387776423472053</v>
      </c>
      <c r="S45" s="116">
        <f t="shared" si="90"/>
        <v>3.2021255724420106E-3</v>
      </c>
      <c r="T45" s="116">
        <f t="shared" si="91"/>
        <v>0.10866773675762439</v>
      </c>
      <c r="U45" s="116">
        <f t="shared" si="92"/>
        <v>8.412153049538143E-3</v>
      </c>
      <c r="V45" s="116">
        <f t="shared" si="93"/>
        <v>7.6351919305127483E-2</v>
      </c>
      <c r="W45" s="116">
        <f t="shared" si="94"/>
        <v>4.0727970502035055E-2</v>
      </c>
      <c r="X45" s="100"/>
      <c r="Y45" s="100"/>
      <c r="Z45" s="80">
        <v>0.36521739130434783</v>
      </c>
      <c r="AA45" s="140">
        <v>0.42276153648478326</v>
      </c>
    </row>
    <row r="46" spans="1:27" s="55" customFormat="1" ht="16" x14ac:dyDescent="0.2">
      <c r="A46" s="73">
        <v>68</v>
      </c>
      <c r="B46" s="45" t="s">
        <v>68</v>
      </c>
      <c r="C46" s="109">
        <v>1513</v>
      </c>
      <c r="D46" s="76">
        <v>1578</v>
      </c>
      <c r="E46" s="116">
        <f t="shared" si="0"/>
        <v>4.2961004626569731E-2</v>
      </c>
      <c r="F46" s="83">
        <v>1275</v>
      </c>
      <c r="G46" s="116">
        <f t="shared" si="1"/>
        <v>0.23764705882352941</v>
      </c>
      <c r="H46" s="83">
        <v>1073</v>
      </c>
      <c r="I46" s="116">
        <f t="shared" si="2"/>
        <v>0.47064305684995339</v>
      </c>
      <c r="J46" s="53">
        <v>13897</v>
      </c>
      <c r="K46" s="109">
        <v>13660</v>
      </c>
      <c r="L46" s="116">
        <f t="shared" si="3"/>
        <v>1.7349926793557832E-2</v>
      </c>
      <c r="M46" s="109">
        <v>14183</v>
      </c>
      <c r="N46" s="116">
        <f t="shared" si="4"/>
        <v>-2.0164986251145739E-2</v>
      </c>
      <c r="O46" s="53">
        <v>15281</v>
      </c>
      <c r="P46" s="116">
        <f t="shared" si="87"/>
        <v>-9.0569988875073615E-2</v>
      </c>
      <c r="Q46" s="116">
        <f t="shared" si="88"/>
        <v>0.11354968698280204</v>
      </c>
      <c r="R46" s="116">
        <f t="shared" si="89"/>
        <v>0.11076134699853588</v>
      </c>
      <c r="S46" s="116">
        <f t="shared" si="90"/>
        <v>2.7883399842661694E-3</v>
      </c>
      <c r="T46" s="116">
        <f t="shared" si="91"/>
        <v>8.9896354790946903E-2</v>
      </c>
      <c r="U46" s="116">
        <f t="shared" si="92"/>
        <v>2.3653332191855142E-2</v>
      </c>
      <c r="V46" s="116">
        <f t="shared" si="93"/>
        <v>7.0217917675544791E-2</v>
      </c>
      <c r="W46" s="116">
        <f t="shared" si="94"/>
        <v>4.3331769307257254E-2</v>
      </c>
      <c r="X46" s="100">
        <v>0.21710526315789475</v>
      </c>
      <c r="Y46" s="100">
        <v>0.18005698812465729</v>
      </c>
      <c r="Z46" s="80">
        <v>0.33333333333333331</v>
      </c>
      <c r="AA46" s="140">
        <v>0.42486513022404865</v>
      </c>
    </row>
    <row r="47" spans="1:27" s="58" customFormat="1" ht="16" x14ac:dyDescent="0.2">
      <c r="A47" s="81">
        <v>69</v>
      </c>
      <c r="B47" s="59" t="s">
        <v>69</v>
      </c>
      <c r="C47" s="111">
        <v>385</v>
      </c>
      <c r="D47" s="62">
        <v>382</v>
      </c>
      <c r="E47" s="128">
        <f t="shared" si="0"/>
        <v>-7.7922077922077922E-3</v>
      </c>
      <c r="F47" s="62">
        <v>369</v>
      </c>
      <c r="G47" s="128">
        <f t="shared" si="1"/>
        <v>3.5230352303523033E-2</v>
      </c>
      <c r="H47" s="62">
        <v>436</v>
      </c>
      <c r="I47" s="128">
        <f t="shared" si="2"/>
        <v>-0.12385321100917432</v>
      </c>
      <c r="J47" s="130">
        <v>4285</v>
      </c>
      <c r="K47" s="111">
        <v>4204</v>
      </c>
      <c r="L47" s="128">
        <f t="shared" si="3"/>
        <v>1.9267364414843006E-2</v>
      </c>
      <c r="M47" s="111">
        <v>4324</v>
      </c>
      <c r="N47" s="128">
        <f t="shared" si="4"/>
        <v>-9.0194264569842739E-3</v>
      </c>
      <c r="O47" s="130">
        <v>5137</v>
      </c>
      <c r="P47" s="128">
        <f t="shared" si="87"/>
        <v>-0.16585555771851276</v>
      </c>
      <c r="Q47" s="128">
        <f t="shared" si="88"/>
        <v>8.9148191365227544E-2</v>
      </c>
      <c r="R47" s="128">
        <f t="shared" si="89"/>
        <v>9.1579448144624168E-2</v>
      </c>
      <c r="S47" s="128">
        <f t="shared" si="90"/>
        <v>-2.4312567793966233E-3</v>
      </c>
      <c r="T47" s="128">
        <f t="shared" si="91"/>
        <v>8.5337650323774286E-2</v>
      </c>
      <c r="U47" s="128">
        <f t="shared" si="92"/>
        <v>3.8105410414532581E-3</v>
      </c>
      <c r="V47" s="128">
        <f t="shared" si="93"/>
        <v>8.4874440334825774E-2</v>
      </c>
      <c r="W47" s="128">
        <f t="shared" si="94"/>
        <v>4.2737510304017706E-3</v>
      </c>
      <c r="X47" s="102">
        <v>0.1111111111111111</v>
      </c>
      <c r="Y47" s="102">
        <v>0.15540472599296132</v>
      </c>
      <c r="Z47" s="65">
        <v>0.5</v>
      </c>
      <c r="AA47" s="143">
        <v>0.47307119504392964</v>
      </c>
    </row>
    <row r="48" spans="1:27" s="55" customFormat="1" ht="16" x14ac:dyDescent="0.2">
      <c r="A48" s="73">
        <v>70</v>
      </c>
      <c r="B48" s="45" t="s">
        <v>70</v>
      </c>
      <c r="C48" s="109">
        <v>360</v>
      </c>
      <c r="D48" s="109">
        <v>347</v>
      </c>
      <c r="E48" s="116">
        <f t="shared" si="0"/>
        <v>-3.6111111111111108E-2</v>
      </c>
      <c r="F48" s="83">
        <v>362</v>
      </c>
      <c r="G48" s="116">
        <f t="shared" si="1"/>
        <v>-4.1436464088397788E-2</v>
      </c>
      <c r="H48" s="83">
        <v>282</v>
      </c>
      <c r="I48" s="116">
        <f t="shared" si="2"/>
        <v>0.23049645390070922</v>
      </c>
      <c r="J48" s="53">
        <v>3861</v>
      </c>
      <c r="K48" s="109">
        <v>3856</v>
      </c>
      <c r="L48" s="116">
        <f t="shared" si="3"/>
        <v>1.2966804979253112E-3</v>
      </c>
      <c r="M48" s="109">
        <v>4199</v>
      </c>
      <c r="N48" s="116">
        <f t="shared" si="4"/>
        <v>-8.0495356037151702E-2</v>
      </c>
      <c r="O48" s="53">
        <v>4560</v>
      </c>
      <c r="P48" s="116">
        <f t="shared" si="87"/>
        <v>-0.15328947368421053</v>
      </c>
      <c r="Q48" s="116">
        <f t="shared" si="88"/>
        <v>8.9873089873089868E-2</v>
      </c>
      <c r="R48" s="116">
        <f t="shared" si="89"/>
        <v>9.3360995850622408E-2</v>
      </c>
      <c r="S48" s="116">
        <f t="shared" si="90"/>
        <v>-3.4879059775325405E-3</v>
      </c>
      <c r="T48" s="116">
        <f t="shared" si="91"/>
        <v>8.6211002619671351E-2</v>
      </c>
      <c r="U48" s="116">
        <f t="shared" si="92"/>
        <v>3.6620872534185167E-3</v>
      </c>
      <c r="V48" s="116">
        <f t="shared" si="93"/>
        <v>6.1842105263157893E-2</v>
      </c>
      <c r="W48" s="116">
        <f t="shared" si="94"/>
        <v>2.8030984609931975E-2</v>
      </c>
      <c r="X48" s="100">
        <v>0.42105263157894735</v>
      </c>
      <c r="Y48" s="100">
        <v>0.31875707921165902</v>
      </c>
      <c r="Z48" s="80">
        <v>0.4375</v>
      </c>
      <c r="AA48" s="140">
        <v>0.46755510528707772</v>
      </c>
    </row>
    <row r="49" spans="1:27" s="55" customFormat="1" ht="16" x14ac:dyDescent="0.2">
      <c r="A49" s="73">
        <v>71</v>
      </c>
      <c r="B49" s="45" t="s">
        <v>71</v>
      </c>
      <c r="C49" s="109">
        <v>1150</v>
      </c>
      <c r="D49" s="109">
        <v>1211</v>
      </c>
      <c r="E49" s="116">
        <f t="shared" si="0"/>
        <v>5.3043478260869567E-2</v>
      </c>
      <c r="F49" s="83">
        <v>1076</v>
      </c>
      <c r="G49" s="116">
        <f t="shared" si="1"/>
        <v>0.12546468401486988</v>
      </c>
      <c r="H49" s="83">
        <v>764</v>
      </c>
      <c r="I49" s="116">
        <f t="shared" si="2"/>
        <v>0.58507853403141363</v>
      </c>
      <c r="J49" s="53">
        <v>8302</v>
      </c>
      <c r="K49" s="109">
        <v>8188</v>
      </c>
      <c r="L49" s="116">
        <f t="shared" si="3"/>
        <v>1.3922813873961895E-2</v>
      </c>
      <c r="M49" s="109">
        <v>9843</v>
      </c>
      <c r="N49" s="116">
        <f t="shared" si="4"/>
        <v>-0.15655795997155339</v>
      </c>
      <c r="O49" s="53">
        <v>9209</v>
      </c>
      <c r="P49" s="116">
        <f t="shared" si="87"/>
        <v>-9.8490607014876747E-2</v>
      </c>
      <c r="Q49" s="116">
        <f t="shared" si="88"/>
        <v>0.14586846543001686</v>
      </c>
      <c r="R49" s="116">
        <f t="shared" si="89"/>
        <v>0.1404494382022472</v>
      </c>
      <c r="S49" s="116">
        <f t="shared" si="90"/>
        <v>5.4190272277696572E-3</v>
      </c>
      <c r="T49" s="116">
        <f t="shared" si="91"/>
        <v>0.10931626536625012</v>
      </c>
      <c r="U49" s="116">
        <f t="shared" si="92"/>
        <v>3.6552200063766735E-2</v>
      </c>
      <c r="V49" s="116">
        <f t="shared" si="93"/>
        <v>8.2962319470083618E-2</v>
      </c>
      <c r="W49" s="116">
        <f t="shared" si="94"/>
        <v>6.2906145959933241E-2</v>
      </c>
      <c r="X49" s="134">
        <v>0.17821782178217821</v>
      </c>
      <c r="Y49" s="134">
        <v>0.20076195543581826</v>
      </c>
      <c r="Z49" s="134">
        <v>0.22105263157894736</v>
      </c>
      <c r="AA49" s="145">
        <v>0.16783934772107453</v>
      </c>
    </row>
    <row r="50" spans="1:27" s="55" customFormat="1" ht="16" x14ac:dyDescent="0.2">
      <c r="A50" s="73">
        <v>72</v>
      </c>
      <c r="B50" s="45" t="s">
        <v>72</v>
      </c>
      <c r="C50" s="109">
        <v>826</v>
      </c>
      <c r="D50" s="109">
        <v>825</v>
      </c>
      <c r="E50" s="116">
        <f t="shared" si="0"/>
        <v>-1.2106537530266344E-3</v>
      </c>
      <c r="F50" s="83">
        <v>817</v>
      </c>
      <c r="G50" s="116">
        <f t="shared" si="1"/>
        <v>9.7919216646266821E-3</v>
      </c>
      <c r="H50" s="83">
        <v>772</v>
      </c>
      <c r="I50" s="116">
        <f t="shared" si="2"/>
        <v>6.8652849740932637E-2</v>
      </c>
      <c r="J50" s="53">
        <v>5324</v>
      </c>
      <c r="K50" s="109">
        <v>5257</v>
      </c>
      <c r="L50" s="116">
        <f t="shared" si="3"/>
        <v>1.2744911546509415E-2</v>
      </c>
      <c r="M50" s="109">
        <v>5296</v>
      </c>
      <c r="N50" s="116">
        <f t="shared" si="4"/>
        <v>5.287009063444109E-3</v>
      </c>
      <c r="O50" s="53">
        <v>6219</v>
      </c>
      <c r="P50" s="116">
        <f t="shared" si="87"/>
        <v>-0.14391381251004984</v>
      </c>
      <c r="Q50" s="116">
        <f t="shared" si="88"/>
        <v>0.15495867768595042</v>
      </c>
      <c r="R50" s="116">
        <f t="shared" si="89"/>
        <v>0.15712383488681758</v>
      </c>
      <c r="S50" s="116">
        <f t="shared" si="90"/>
        <v>-2.1651572008671571E-3</v>
      </c>
      <c r="T50" s="116">
        <f t="shared" si="91"/>
        <v>0.15426737160120846</v>
      </c>
      <c r="U50" s="116">
        <f t="shared" si="92"/>
        <v>6.9130608474196609E-4</v>
      </c>
      <c r="V50" s="116">
        <f t="shared" si="93"/>
        <v>0.12413571313716032</v>
      </c>
      <c r="W50" s="116">
        <f t="shared" si="94"/>
        <v>3.0822964548790105E-2</v>
      </c>
      <c r="X50" s="100">
        <v>0.32432432432432434</v>
      </c>
      <c r="Y50" s="100">
        <v>0.25466755466755464</v>
      </c>
      <c r="Z50" s="80">
        <v>0.43076923076923079</v>
      </c>
      <c r="AA50" s="140">
        <v>0.34887653368756011</v>
      </c>
    </row>
    <row r="51" spans="1:27" s="55" customFormat="1" ht="16" x14ac:dyDescent="0.2">
      <c r="A51" s="73">
        <v>73</v>
      </c>
      <c r="B51" s="45" t="s">
        <v>73</v>
      </c>
      <c r="C51" s="109">
        <v>1207</v>
      </c>
      <c r="D51" s="109">
        <v>1212</v>
      </c>
      <c r="E51" s="116">
        <f t="shared" si="0"/>
        <v>4.1425020712510356E-3</v>
      </c>
      <c r="F51" s="83">
        <v>1056</v>
      </c>
      <c r="G51" s="116">
        <f t="shared" si="1"/>
        <v>0.14772727272727273</v>
      </c>
      <c r="H51" s="83">
        <v>776</v>
      </c>
      <c r="I51" s="116">
        <f t="shared" si="2"/>
        <v>0.56185567010309279</v>
      </c>
      <c r="J51" s="53">
        <v>14410</v>
      </c>
      <c r="K51" s="109">
        <v>14408</v>
      </c>
      <c r="L51" s="116">
        <f t="shared" si="3"/>
        <v>1.3881177123820101E-4</v>
      </c>
      <c r="M51" s="109">
        <v>15004</v>
      </c>
      <c r="N51" s="116">
        <f t="shared" si="4"/>
        <v>-3.9589442815249266E-2</v>
      </c>
      <c r="O51" s="53">
        <v>15069</v>
      </c>
      <c r="P51" s="116">
        <f t="shared" si="87"/>
        <v>-4.3732165372619286E-2</v>
      </c>
      <c r="Q51" s="116">
        <f t="shared" si="88"/>
        <v>8.4108258154059687E-2</v>
      </c>
      <c r="R51" s="116">
        <f t="shared" si="89"/>
        <v>8.3772903942254298E-2</v>
      </c>
      <c r="S51" s="116">
        <f t="shared" si="90"/>
        <v>3.3535421180538871E-4</v>
      </c>
      <c r="T51" s="116">
        <f t="shared" si="91"/>
        <v>7.0381231671554259E-2</v>
      </c>
      <c r="U51" s="116">
        <f t="shared" si="92"/>
        <v>1.3727026482505428E-2</v>
      </c>
      <c r="V51" s="116">
        <f t="shared" si="93"/>
        <v>5.1496449664874912E-2</v>
      </c>
      <c r="W51" s="116">
        <f t="shared" si="94"/>
        <v>3.2611808489184775E-2</v>
      </c>
      <c r="X51" s="84">
        <v>0.12173913043478261</v>
      </c>
      <c r="Y51" s="84">
        <v>9.141132506981034E-2</v>
      </c>
      <c r="Z51" s="80">
        <v>0.2441860465116279</v>
      </c>
      <c r="AA51" s="140">
        <v>0.11901321930885243</v>
      </c>
    </row>
    <row r="52" spans="1:27" s="55" customFormat="1" ht="16" x14ac:dyDescent="0.2">
      <c r="A52" s="73">
        <v>74</v>
      </c>
      <c r="B52" s="45" t="s">
        <v>15</v>
      </c>
      <c r="C52" s="109"/>
      <c r="D52" s="109"/>
      <c r="E52" s="116"/>
      <c r="F52" s="116"/>
      <c r="G52" s="116"/>
      <c r="H52" s="109"/>
      <c r="I52" s="116"/>
      <c r="J52" s="116"/>
      <c r="K52" s="109"/>
      <c r="L52" s="116"/>
      <c r="M52" s="109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84"/>
      <c r="Y52" s="84"/>
      <c r="Z52" s="80"/>
      <c r="AA52" s="141"/>
    </row>
    <row r="53" spans="1:27" s="55" customFormat="1" ht="16" x14ac:dyDescent="0.2">
      <c r="A53" s="73">
        <v>75</v>
      </c>
      <c r="B53" s="45" t="s">
        <v>74</v>
      </c>
      <c r="C53" s="109">
        <v>486</v>
      </c>
      <c r="D53" s="109">
        <v>496</v>
      </c>
      <c r="E53" s="116">
        <f t="shared" si="0"/>
        <v>2.0576131687242798E-2</v>
      </c>
      <c r="F53" s="83">
        <v>478</v>
      </c>
      <c r="G53" s="116">
        <f t="shared" si="1"/>
        <v>3.7656903765690378E-2</v>
      </c>
      <c r="H53" s="83">
        <v>443</v>
      </c>
      <c r="I53" s="116">
        <f t="shared" si="2"/>
        <v>0.11963882618510158</v>
      </c>
      <c r="J53" s="53">
        <v>6072</v>
      </c>
      <c r="K53" s="109">
        <v>6027</v>
      </c>
      <c r="L53" s="116">
        <f t="shared" si="3"/>
        <v>7.466401194624191E-3</v>
      </c>
      <c r="M53" s="109">
        <v>6227</v>
      </c>
      <c r="N53" s="116">
        <f t="shared" si="4"/>
        <v>-2.4891601092018628E-2</v>
      </c>
      <c r="O53" s="53">
        <v>7262</v>
      </c>
      <c r="P53" s="116">
        <f t="shared" si="87"/>
        <v>-0.16386670338749657</v>
      </c>
      <c r="Q53" s="116">
        <f t="shared" si="88"/>
        <v>8.1686429512516465E-2</v>
      </c>
      <c r="R53" s="116">
        <f t="shared" si="89"/>
        <v>8.0637132901941258E-2</v>
      </c>
      <c r="S53" s="116">
        <f t="shared" si="90"/>
        <v>1.0492966105752066E-3</v>
      </c>
      <c r="T53" s="116">
        <f t="shared" si="91"/>
        <v>7.6762485948289702E-2</v>
      </c>
      <c r="U53" s="116">
        <f t="shared" si="92"/>
        <v>4.9239435642267626E-3</v>
      </c>
      <c r="V53" s="116">
        <f t="shared" si="93"/>
        <v>6.1002478656017628E-2</v>
      </c>
      <c r="W53" s="116">
        <f t="shared" si="94"/>
        <v>2.0683950856498837E-2</v>
      </c>
      <c r="X53" s="134">
        <v>0.40350877192982454</v>
      </c>
      <c r="Y53" s="134">
        <v>0.37661961809895578</v>
      </c>
      <c r="Z53" s="134">
        <v>0.53658536585365857</v>
      </c>
      <c r="AA53" s="145">
        <v>0.55794859414848197</v>
      </c>
    </row>
    <row r="54" spans="1:27" s="55" customFormat="1" ht="16" x14ac:dyDescent="0.2">
      <c r="A54" s="73">
        <v>78</v>
      </c>
      <c r="B54" s="45" t="s">
        <v>9</v>
      </c>
      <c r="C54" s="85"/>
      <c r="D54" s="109"/>
      <c r="E54" s="116"/>
      <c r="F54" s="116"/>
      <c r="G54" s="116"/>
      <c r="H54" s="109"/>
      <c r="I54" s="116"/>
      <c r="J54" s="116"/>
      <c r="K54" s="109"/>
      <c r="L54" s="116"/>
      <c r="M54" s="109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84"/>
      <c r="Y54" s="84"/>
      <c r="Z54" s="80"/>
      <c r="AA54" s="141"/>
    </row>
    <row r="55" spans="1:27" s="55" customFormat="1" ht="16" x14ac:dyDescent="0.2">
      <c r="A55" s="73">
        <v>79</v>
      </c>
      <c r="B55" s="45" t="s">
        <v>75</v>
      </c>
      <c r="C55" s="109">
        <v>1004</v>
      </c>
      <c r="D55" s="76">
        <v>1050</v>
      </c>
      <c r="E55" s="116">
        <f t="shared" si="0"/>
        <v>4.5816733067729085E-2</v>
      </c>
      <c r="F55" s="83">
        <v>814</v>
      </c>
      <c r="G55" s="116">
        <f t="shared" si="1"/>
        <v>0.28992628992628994</v>
      </c>
      <c r="H55" s="83">
        <v>531</v>
      </c>
      <c r="I55" s="116">
        <f t="shared" si="2"/>
        <v>0.97740112994350281</v>
      </c>
      <c r="J55" s="53">
        <v>7825</v>
      </c>
      <c r="K55" s="109">
        <v>7606</v>
      </c>
      <c r="L55" s="116">
        <f t="shared" si="3"/>
        <v>2.879305811201683E-2</v>
      </c>
      <c r="M55" s="109">
        <v>8179</v>
      </c>
      <c r="N55" s="116">
        <f t="shared" si="4"/>
        <v>-4.3281574764641152E-2</v>
      </c>
      <c r="O55" s="53">
        <v>9439</v>
      </c>
      <c r="P55" s="116">
        <f t="shared" si="87"/>
        <v>-0.17099268990359148</v>
      </c>
      <c r="Q55" s="116">
        <f t="shared" si="88"/>
        <v>0.13418530351437699</v>
      </c>
      <c r="R55" s="116">
        <f t="shared" si="89"/>
        <v>0.13200105180120958</v>
      </c>
      <c r="S55" s="116">
        <f t="shared" si="90"/>
        <v>2.1842517131674122E-3</v>
      </c>
      <c r="T55" s="116">
        <f t="shared" si="91"/>
        <v>9.9523169091575991E-2</v>
      </c>
      <c r="U55" s="116">
        <f t="shared" si="92"/>
        <v>3.4662134422801E-2</v>
      </c>
      <c r="V55" s="116">
        <f t="shared" si="93"/>
        <v>5.6255959317724334E-2</v>
      </c>
      <c r="W55" s="116">
        <f t="shared" si="94"/>
        <v>7.792934419665265E-2</v>
      </c>
      <c r="X55" s="84">
        <v>0.16521739130434782</v>
      </c>
      <c r="Y55" s="84">
        <v>0.19636184499498124</v>
      </c>
      <c r="Z55" s="80">
        <v>0.33962264150943394</v>
      </c>
      <c r="AA55" s="140">
        <v>0.45228277836563335</v>
      </c>
    </row>
    <row r="56" spans="1:27" s="55" customFormat="1" ht="16" x14ac:dyDescent="0.2">
      <c r="A56" s="73">
        <v>81</v>
      </c>
      <c r="B56" s="45" t="s">
        <v>7</v>
      </c>
      <c r="C56" s="109"/>
      <c r="D56" s="109"/>
      <c r="E56" s="116"/>
      <c r="F56" s="83"/>
      <c r="G56" s="116"/>
      <c r="H56" s="120"/>
      <c r="I56" s="116"/>
      <c r="J56" s="116"/>
      <c r="K56" s="109"/>
      <c r="L56" s="116"/>
      <c r="M56" s="109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84"/>
      <c r="Y56" s="84"/>
      <c r="Z56" s="80"/>
      <c r="AA56" s="141"/>
    </row>
    <row r="57" spans="1:27" s="55" customFormat="1" ht="16" x14ac:dyDescent="0.2">
      <c r="A57" s="73">
        <v>82</v>
      </c>
      <c r="B57" s="45" t="s">
        <v>76</v>
      </c>
      <c r="C57" s="109">
        <v>410</v>
      </c>
      <c r="D57" s="109">
        <v>432</v>
      </c>
      <c r="E57" s="116">
        <f t="shared" si="0"/>
        <v>5.3658536585365853E-2</v>
      </c>
      <c r="F57" s="93" t="s">
        <v>85</v>
      </c>
      <c r="G57" s="116"/>
      <c r="H57" s="93" t="s">
        <v>85</v>
      </c>
      <c r="I57" s="116"/>
      <c r="J57" s="53">
        <v>4228</v>
      </c>
      <c r="K57" s="109">
        <v>4396</v>
      </c>
      <c r="L57" s="116">
        <f t="shared" si="3"/>
        <v>-3.8216560509554139E-2</v>
      </c>
      <c r="M57" s="109">
        <v>4999</v>
      </c>
      <c r="N57" s="116">
        <f t="shared" si="4"/>
        <v>-0.15423084616923385</v>
      </c>
      <c r="O57" s="53">
        <v>5695</v>
      </c>
      <c r="P57" s="116">
        <f t="shared" si="87"/>
        <v>-0.25759438103599647</v>
      </c>
      <c r="Q57" s="116">
        <f t="shared" si="88"/>
        <v>0.1021759697256386</v>
      </c>
      <c r="R57" s="116">
        <f t="shared" si="89"/>
        <v>9.326660600545951E-2</v>
      </c>
      <c r="S57" s="116">
        <f t="shared" si="90"/>
        <v>8.9093637201790865E-3</v>
      </c>
      <c r="T57" s="116"/>
      <c r="U57" s="116"/>
      <c r="V57" s="116"/>
      <c r="W57" s="116"/>
      <c r="X57" s="84">
        <v>0.3392857142857143</v>
      </c>
      <c r="Y57" s="84">
        <v>0.23332448200570716</v>
      </c>
      <c r="Z57" s="80">
        <v>0.51851851851851849</v>
      </c>
      <c r="AA57" s="140">
        <v>0.30379283026341852</v>
      </c>
    </row>
    <row r="58" spans="1:27" s="55" customFormat="1" ht="16" x14ac:dyDescent="0.2">
      <c r="A58" s="73">
        <v>83</v>
      </c>
      <c r="B58" s="45" t="s">
        <v>77</v>
      </c>
      <c r="C58" s="109">
        <v>764</v>
      </c>
      <c r="D58" s="109">
        <v>753</v>
      </c>
      <c r="E58" s="116">
        <f t="shared" si="0"/>
        <v>-1.4397905759162303E-2</v>
      </c>
      <c r="F58" s="83">
        <v>660</v>
      </c>
      <c r="G58" s="116">
        <f t="shared" si="1"/>
        <v>0.1409090909090909</v>
      </c>
      <c r="H58" s="93">
        <v>356</v>
      </c>
      <c r="I58" s="116">
        <f t="shared" si="2"/>
        <v>1.1151685393258426</v>
      </c>
      <c r="J58" s="53">
        <v>5993</v>
      </c>
      <c r="K58" s="109">
        <v>5866</v>
      </c>
      <c r="L58" s="116">
        <f t="shared" si="3"/>
        <v>2.165018752130924E-2</v>
      </c>
      <c r="M58" s="109">
        <v>6747</v>
      </c>
      <c r="N58" s="116">
        <f t="shared" si="4"/>
        <v>-0.11175337186897881</v>
      </c>
      <c r="O58" s="53">
        <v>7635</v>
      </c>
      <c r="P58" s="116">
        <f t="shared" si="87"/>
        <v>-0.21506221349050425</v>
      </c>
      <c r="Q58" s="116">
        <f t="shared" si="88"/>
        <v>0.12564658768563325</v>
      </c>
      <c r="R58" s="116">
        <f t="shared" si="89"/>
        <v>0.13024207296283669</v>
      </c>
      <c r="S58" s="116">
        <f t="shared" si="90"/>
        <v>-4.5954852772034371E-3</v>
      </c>
      <c r="T58" s="116">
        <f t="shared" si="91"/>
        <v>9.7821253890618048E-2</v>
      </c>
      <c r="U58" s="116">
        <f t="shared" si="92"/>
        <v>2.78253337950152E-2</v>
      </c>
      <c r="V58" s="116">
        <f t="shared" si="93"/>
        <v>4.6627373935821871E-2</v>
      </c>
      <c r="W58" s="116">
        <f t="shared" si="94"/>
        <v>7.9019213749811384E-2</v>
      </c>
      <c r="X58" s="84">
        <v>0</v>
      </c>
      <c r="Y58" s="84">
        <v>5.5555555555555549E-3</v>
      </c>
      <c r="Z58" s="80">
        <v>0.22535211267605634</v>
      </c>
      <c r="AA58" s="140">
        <v>0.24876662541211925</v>
      </c>
    </row>
    <row r="59" spans="1:27" s="55" customFormat="1" ht="16" x14ac:dyDescent="0.2">
      <c r="A59" s="73">
        <v>84</v>
      </c>
      <c r="B59" s="45" t="s">
        <v>11</v>
      </c>
      <c r="C59" s="109"/>
      <c r="D59" s="109"/>
      <c r="E59" s="116"/>
      <c r="F59" s="116"/>
      <c r="G59" s="116"/>
      <c r="H59" s="109"/>
      <c r="I59" s="116"/>
      <c r="J59" s="116"/>
      <c r="K59" s="109"/>
      <c r="L59" s="116"/>
      <c r="M59" s="109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84"/>
      <c r="Y59" s="84"/>
      <c r="Z59" s="80"/>
      <c r="AA59" s="141"/>
    </row>
    <row r="60" spans="1:27" s="55" customFormat="1" ht="16" x14ac:dyDescent="0.2">
      <c r="A60" s="73">
        <v>85</v>
      </c>
      <c r="B60" s="45" t="s">
        <v>12</v>
      </c>
      <c r="C60" s="109"/>
      <c r="D60" s="109"/>
      <c r="E60" s="116"/>
      <c r="F60" s="116"/>
      <c r="G60" s="116"/>
      <c r="H60" s="109"/>
      <c r="I60" s="116"/>
      <c r="J60" s="116"/>
      <c r="K60" s="109"/>
      <c r="L60" s="116"/>
      <c r="M60" s="109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84"/>
      <c r="Y60" s="84"/>
      <c r="Z60" s="80"/>
      <c r="AA60" s="141"/>
    </row>
    <row r="61" spans="1:27" s="55" customFormat="1" ht="16" x14ac:dyDescent="0.2">
      <c r="A61" s="73">
        <v>87</v>
      </c>
      <c r="B61" s="45" t="s">
        <v>8</v>
      </c>
      <c r="C61" s="109"/>
      <c r="D61" s="109"/>
      <c r="E61" s="116"/>
      <c r="F61" s="116"/>
      <c r="G61" s="116"/>
      <c r="H61" s="109"/>
      <c r="I61" s="116"/>
      <c r="J61" s="116"/>
      <c r="K61" s="109"/>
      <c r="L61" s="116"/>
      <c r="M61" s="109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84"/>
      <c r="Y61" s="84"/>
      <c r="Z61" s="80"/>
      <c r="AA61" s="141"/>
    </row>
    <row r="62" spans="1:27" s="55" customFormat="1" ht="16" x14ac:dyDescent="0.2">
      <c r="A62" s="73">
        <v>91</v>
      </c>
      <c r="B62" s="45" t="s">
        <v>78</v>
      </c>
      <c r="C62" s="109">
        <v>234</v>
      </c>
      <c r="D62" s="109">
        <v>220</v>
      </c>
      <c r="E62" s="116">
        <f t="shared" si="0"/>
        <v>-5.9829059829059832E-2</v>
      </c>
      <c r="F62" s="83">
        <v>205</v>
      </c>
      <c r="G62" s="116">
        <f t="shared" si="1"/>
        <v>7.3170731707317069E-2</v>
      </c>
      <c r="H62" s="83">
        <v>239</v>
      </c>
      <c r="I62" s="116">
        <f t="shared" si="2"/>
        <v>-7.9497907949790794E-2</v>
      </c>
      <c r="J62" s="83">
        <v>4448</v>
      </c>
      <c r="K62" s="83">
        <v>4499</v>
      </c>
      <c r="L62" s="116">
        <f t="shared" si="3"/>
        <v>-1.1335852411647033E-2</v>
      </c>
      <c r="M62" s="83">
        <v>5004</v>
      </c>
      <c r="N62" s="116">
        <f t="shared" si="4"/>
        <v>-0.1111111111111111</v>
      </c>
      <c r="O62" s="93">
        <v>5568</v>
      </c>
      <c r="P62" s="116">
        <f t="shared" si="87"/>
        <v>-0.20114942528735633</v>
      </c>
      <c r="Q62" s="116">
        <f t="shared" si="88"/>
        <v>4.9460431654676257E-2</v>
      </c>
      <c r="R62" s="116">
        <f t="shared" si="89"/>
        <v>5.2011558124027558E-2</v>
      </c>
      <c r="S62" s="116">
        <f t="shared" si="90"/>
        <v>-2.5511264693513017E-3</v>
      </c>
      <c r="T62" s="116">
        <f t="shared" si="91"/>
        <v>4.096722621902478E-2</v>
      </c>
      <c r="U62" s="116">
        <f t="shared" si="92"/>
        <v>8.4932054356514769E-3</v>
      </c>
      <c r="V62" s="116">
        <f t="shared" si="93"/>
        <v>4.2923850574712645E-2</v>
      </c>
      <c r="W62" s="116">
        <f t="shared" si="94"/>
        <v>6.5365810799636118E-3</v>
      </c>
      <c r="X62" s="84">
        <v>0.27777777777777779</v>
      </c>
      <c r="Y62" s="84">
        <v>0.27564671965092719</v>
      </c>
      <c r="Z62" s="80"/>
      <c r="AA62" s="140"/>
    </row>
    <row r="63" spans="1:27" s="55" customFormat="1" ht="16" x14ac:dyDescent="0.2">
      <c r="A63" s="73">
        <v>92</v>
      </c>
      <c r="B63" s="45" t="s">
        <v>14</v>
      </c>
      <c r="C63" s="109"/>
      <c r="D63" s="109"/>
      <c r="E63" s="116"/>
      <c r="F63" s="116"/>
      <c r="G63" s="116"/>
      <c r="H63" s="109"/>
      <c r="I63" s="116"/>
      <c r="J63" s="116"/>
      <c r="K63" s="116"/>
      <c r="L63" s="116"/>
      <c r="M63" s="109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84"/>
      <c r="Y63" s="84"/>
      <c r="Z63" s="80"/>
      <c r="AA63" s="141"/>
    </row>
    <row r="71" spans="2:2" ht="17" x14ac:dyDescent="0.2">
      <c r="B71" s="10" t="s">
        <v>2</v>
      </c>
    </row>
    <row r="72" spans="2:2" x14ac:dyDescent="0.2">
      <c r="B72" s="11" t="s">
        <v>79</v>
      </c>
    </row>
    <row r="73" spans="2:2" x14ac:dyDescent="0.2">
      <c r="B73" s="12" t="s">
        <v>80</v>
      </c>
    </row>
    <row r="74" spans="2:2" x14ac:dyDescent="0.2">
      <c r="B74" t="s">
        <v>81</v>
      </c>
    </row>
    <row r="85" spans="2:2" ht="16" x14ac:dyDescent="0.2">
      <c r="B85" s="1"/>
    </row>
  </sheetData>
  <pageMargins left="0.7" right="0.7" top="0.75" bottom="0.75" header="0.3" footer="0.3"/>
  <pageSetup orientation="portrait" horizontalDpi="4294967295" verticalDpi="4294967295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79ED6-0D22-4328-AB3A-191199176AA6}">
  <dimension ref="A1:AA85"/>
  <sheetViews>
    <sheetView zoomScale="75" zoomScaleNormal="75" workbookViewId="0">
      <selection activeCell="D21" sqref="D21"/>
    </sheetView>
  </sheetViews>
  <sheetFormatPr baseColWidth="10" defaultColWidth="13.6640625" defaultRowHeight="15" x14ac:dyDescent="0.2"/>
  <cols>
    <col min="2" max="2" width="27.5" customWidth="1"/>
    <col min="3" max="3" width="14.6640625" style="17" customWidth="1"/>
    <col min="4" max="4" width="13.6640625" style="17"/>
    <col min="6" max="6" width="13.6640625" style="17" customWidth="1"/>
    <col min="8" max="8" width="13.6640625" style="17" customWidth="1"/>
    <col min="10" max="10" width="13.6640625" style="17"/>
    <col min="11" max="11" width="14" style="17" customWidth="1"/>
    <col min="13" max="13" width="13.6640625" style="17" customWidth="1"/>
    <col min="15" max="15" width="13.6640625" style="17" customWidth="1"/>
  </cols>
  <sheetData>
    <row r="1" spans="1:27" ht="16" x14ac:dyDescent="0.2">
      <c r="A1" s="17" t="s">
        <v>111</v>
      </c>
      <c r="C1" s="1"/>
      <c r="D1" s="1"/>
      <c r="E1" s="1"/>
      <c r="F1" s="1"/>
      <c r="G1" s="1"/>
      <c r="H1" s="1"/>
      <c r="I1" s="1"/>
    </row>
    <row r="2" spans="1:27" ht="16" thickBot="1" x14ac:dyDescent="0.25"/>
    <row r="3" spans="1:27" ht="61.5" customHeight="1" x14ac:dyDescent="0.2">
      <c r="A3" s="46" t="s">
        <v>16</v>
      </c>
      <c r="B3" s="47" t="s">
        <v>17</v>
      </c>
      <c r="C3" s="47" t="s">
        <v>112</v>
      </c>
      <c r="D3" s="47" t="s">
        <v>18</v>
      </c>
      <c r="E3" s="47" t="s">
        <v>0</v>
      </c>
      <c r="F3" s="47" t="s">
        <v>113</v>
      </c>
      <c r="G3" s="47" t="s">
        <v>19</v>
      </c>
      <c r="H3" s="47" t="s">
        <v>114</v>
      </c>
      <c r="I3" s="47" t="s">
        <v>20</v>
      </c>
      <c r="J3" s="47" t="s">
        <v>21</v>
      </c>
      <c r="K3" s="47" t="s">
        <v>117</v>
      </c>
      <c r="L3" s="47" t="s">
        <v>22</v>
      </c>
      <c r="M3" s="47" t="s">
        <v>115</v>
      </c>
      <c r="N3" s="47" t="s">
        <v>23</v>
      </c>
      <c r="O3" s="47" t="s">
        <v>116</v>
      </c>
      <c r="P3" s="47" t="s">
        <v>24</v>
      </c>
      <c r="Q3" s="47" t="s">
        <v>1</v>
      </c>
      <c r="R3" s="47" t="s">
        <v>90</v>
      </c>
      <c r="S3" s="47" t="s">
        <v>25</v>
      </c>
      <c r="T3" s="47" t="s">
        <v>91</v>
      </c>
      <c r="U3" s="47" t="s">
        <v>26</v>
      </c>
      <c r="V3" s="47" t="s">
        <v>92</v>
      </c>
      <c r="W3" s="47" t="s">
        <v>27</v>
      </c>
      <c r="X3" s="47" t="s">
        <v>28</v>
      </c>
      <c r="Y3" s="47" t="s">
        <v>29</v>
      </c>
      <c r="Z3" s="47" t="s">
        <v>30</v>
      </c>
      <c r="AA3" s="48" t="s">
        <v>31</v>
      </c>
    </row>
    <row r="4" spans="1:27" s="55" customFormat="1" ht="16" x14ac:dyDescent="0.2">
      <c r="A4" s="71"/>
      <c r="B4" s="49" t="s">
        <v>32</v>
      </c>
      <c r="C4" s="50">
        <v>53206</v>
      </c>
      <c r="D4" s="51">
        <v>53487</v>
      </c>
      <c r="E4" s="52">
        <f>(D4-C4)/C4</f>
        <v>5.2813592451979099E-3</v>
      </c>
      <c r="F4" s="53">
        <v>47857</v>
      </c>
      <c r="G4" s="52">
        <f>(D4-F4)/F4</f>
        <v>0.1176421422153499</v>
      </c>
      <c r="H4" s="53">
        <v>41000</v>
      </c>
      <c r="I4" s="52">
        <f>(D4-H4)/H4</f>
        <v>0.30456097560975609</v>
      </c>
      <c r="J4" s="51">
        <v>563247</v>
      </c>
      <c r="K4" s="50">
        <v>557630</v>
      </c>
      <c r="L4" s="54">
        <f>(J4-K4)/K4</f>
        <v>1.0072987464806412E-2</v>
      </c>
      <c r="M4" s="53">
        <v>564532</v>
      </c>
      <c r="N4" s="54">
        <f>(J4-M4)/M4</f>
        <v>-2.276221719937931E-3</v>
      </c>
      <c r="O4" s="53">
        <v>583623</v>
      </c>
      <c r="P4" s="52">
        <f>(J4-O4)/O4</f>
        <v>-3.4912948941354265E-2</v>
      </c>
      <c r="Q4" s="52">
        <f>(D4/J4)</f>
        <v>9.4961890609270891E-2</v>
      </c>
      <c r="R4" s="52">
        <f>(C4/K4)</f>
        <v>9.541452217420153E-2</v>
      </c>
      <c r="S4" s="52">
        <f>(Q4-R4)</f>
        <v>-4.5263156493063894E-4</v>
      </c>
      <c r="T4" s="52">
        <f>(F4/M4)</f>
        <v>8.4772873814061914E-2</v>
      </c>
      <c r="U4" s="52">
        <f>(Q4-T4)</f>
        <v>1.0189016795208977E-2</v>
      </c>
      <c r="V4" s="52">
        <f>(H4/O4)</f>
        <v>7.0250829730836517E-2</v>
      </c>
      <c r="W4" s="52">
        <f>(Q4-V4)</f>
        <v>2.4711060878434374E-2</v>
      </c>
      <c r="X4" s="54">
        <v>0.14682372738746319</v>
      </c>
      <c r="Y4" s="54">
        <v>0.14813686932252251</v>
      </c>
      <c r="Z4" s="72">
        <v>0.4022808586762075</v>
      </c>
      <c r="AA4" s="146">
        <v>0.40272559613835252</v>
      </c>
    </row>
    <row r="5" spans="1:27" s="55" customFormat="1" ht="16" x14ac:dyDescent="0.2">
      <c r="A5" s="73">
        <v>5</v>
      </c>
      <c r="B5" s="45" t="s">
        <v>33</v>
      </c>
      <c r="C5" s="74">
        <v>517</v>
      </c>
      <c r="D5" s="75">
        <v>548</v>
      </c>
      <c r="E5" s="52">
        <f t="shared" ref="E5:E62" si="0">(D5-C5)/C5</f>
        <v>5.9961315280464215E-2</v>
      </c>
      <c r="F5" s="76">
        <v>436</v>
      </c>
      <c r="G5" s="52">
        <f t="shared" ref="G5:G62" si="1">(D5-F5)/F5</f>
        <v>0.25688073394495414</v>
      </c>
      <c r="H5" s="76">
        <v>328</v>
      </c>
      <c r="I5" s="52">
        <f t="shared" ref="I5:I62" si="2">(D5-H5)/H5</f>
        <v>0.67073170731707321</v>
      </c>
      <c r="J5" s="75">
        <v>5525</v>
      </c>
      <c r="K5" s="77" t="s">
        <v>108</v>
      </c>
      <c r="L5" s="54">
        <f t="shared" ref="L5:L62" si="3">(J5-K5)/K5</f>
        <v>9.316770186335404E-3</v>
      </c>
      <c r="M5" s="76">
        <v>5259</v>
      </c>
      <c r="N5" s="54">
        <f t="shared" ref="N5:N62" si="4">(J5-M5)/M5</f>
        <v>5.0579958166951891E-2</v>
      </c>
      <c r="O5" s="78">
        <v>5629</v>
      </c>
      <c r="P5" s="52">
        <f t="shared" ref="P5:P62" si="5">(J5-O5)/O5</f>
        <v>-1.8475750577367205E-2</v>
      </c>
      <c r="Q5" s="52">
        <f t="shared" ref="Q5:Q62" si="6">(D5/J5)</f>
        <v>9.918552036199095E-2</v>
      </c>
      <c r="R5" s="52">
        <f t="shared" ref="R5:R62" si="7">(C5/K5)</f>
        <v>9.4446474241870665E-2</v>
      </c>
      <c r="S5" s="52">
        <f t="shared" ref="S5:S62" si="8">(Q5-R5)</f>
        <v>4.7390461201202855E-3</v>
      </c>
      <c r="T5" s="52">
        <f t="shared" ref="T5:T62" si="9">(F5/M5)</f>
        <v>8.2905495341319649E-2</v>
      </c>
      <c r="U5" s="52">
        <f t="shared" ref="U5:U62" si="10">(Q5-T5)</f>
        <v>1.6280025020671302E-2</v>
      </c>
      <c r="V5" s="52">
        <f t="shared" ref="V5:V62" si="11">(H5/O5)</f>
        <v>5.8269674897850419E-2</v>
      </c>
      <c r="W5" s="52">
        <f t="shared" ref="W5:W62" si="12">(Q5-V5)</f>
        <v>4.0915845464140531E-2</v>
      </c>
      <c r="X5" s="79">
        <v>-1.125</v>
      </c>
      <c r="Y5" s="72">
        <v>-0.83038796861377517</v>
      </c>
      <c r="Z5" s="80">
        <v>0.30769230769230771</v>
      </c>
      <c r="AA5" s="140">
        <v>0.37328896302110587</v>
      </c>
    </row>
    <row r="6" spans="1:27" s="58" customFormat="1" ht="16" x14ac:dyDescent="0.2">
      <c r="A6" s="81">
        <v>6</v>
      </c>
      <c r="B6" s="59" t="s">
        <v>34</v>
      </c>
      <c r="C6" s="60">
        <v>144</v>
      </c>
      <c r="D6" s="61">
        <v>143</v>
      </c>
      <c r="E6" s="56">
        <f t="shared" si="0"/>
        <v>-6.9444444444444441E-3</v>
      </c>
      <c r="F6" s="62">
        <v>176</v>
      </c>
      <c r="G6" s="56">
        <f t="shared" si="1"/>
        <v>-0.1875</v>
      </c>
      <c r="H6" s="62">
        <v>224</v>
      </c>
      <c r="I6" s="56">
        <f t="shared" si="2"/>
        <v>-0.36160714285714285</v>
      </c>
      <c r="J6" s="61">
        <v>3333</v>
      </c>
      <c r="K6" s="63">
        <v>3249</v>
      </c>
      <c r="L6" s="57">
        <f t="shared" si="3"/>
        <v>2.5854108956602031E-2</v>
      </c>
      <c r="M6" s="62">
        <v>3086</v>
      </c>
      <c r="N6" s="57">
        <f t="shared" si="4"/>
        <v>8.0038885288399225E-2</v>
      </c>
      <c r="O6" s="64">
        <v>3428</v>
      </c>
      <c r="P6" s="56">
        <f t="shared" si="5"/>
        <v>-2.7712952158693117E-2</v>
      </c>
      <c r="Q6" s="56">
        <f t="shared" si="6"/>
        <v>4.2904290429042903E-2</v>
      </c>
      <c r="R6" s="56">
        <f t="shared" si="7"/>
        <v>4.4321329639889197E-2</v>
      </c>
      <c r="S6" s="56">
        <f t="shared" si="8"/>
        <v>-1.4170392108462937E-3</v>
      </c>
      <c r="T6" s="56">
        <f t="shared" si="9"/>
        <v>5.7031756318859365E-2</v>
      </c>
      <c r="U6" s="56">
        <f t="shared" si="10"/>
        <v>-1.4127465889816462E-2</v>
      </c>
      <c r="V6" s="56">
        <f t="shared" si="11"/>
        <v>6.5344224037339554E-2</v>
      </c>
      <c r="W6" s="56">
        <f t="shared" si="12"/>
        <v>-2.2439933608296651E-2</v>
      </c>
      <c r="X6" s="57"/>
      <c r="Y6" s="57"/>
      <c r="Z6" s="65">
        <v>0.6470588235294118</v>
      </c>
      <c r="AA6" s="143">
        <v>0.41194366635543106</v>
      </c>
    </row>
    <row r="7" spans="1:27" s="55" customFormat="1" ht="16" x14ac:dyDescent="0.2">
      <c r="A7" s="73">
        <v>8</v>
      </c>
      <c r="B7" s="45" t="s">
        <v>35</v>
      </c>
      <c r="C7" s="83">
        <v>265</v>
      </c>
      <c r="D7" s="75">
        <v>270</v>
      </c>
      <c r="E7" s="52">
        <f t="shared" si="0"/>
        <v>1.8867924528301886E-2</v>
      </c>
      <c r="F7" s="76">
        <v>277</v>
      </c>
      <c r="G7" s="52">
        <f t="shared" si="1"/>
        <v>-2.5270758122743681E-2</v>
      </c>
      <c r="H7" s="76">
        <v>300</v>
      </c>
      <c r="I7" s="52">
        <f t="shared" si="2"/>
        <v>-0.1</v>
      </c>
      <c r="J7" s="75">
        <v>4978</v>
      </c>
      <c r="K7" s="83">
        <v>4950</v>
      </c>
      <c r="L7" s="54">
        <f t="shared" si="3"/>
        <v>5.6565656565656566E-3</v>
      </c>
      <c r="M7" s="76">
        <v>5458</v>
      </c>
      <c r="N7" s="54">
        <f t="shared" si="4"/>
        <v>-8.7944301942103328E-2</v>
      </c>
      <c r="O7" s="53">
        <v>5393</v>
      </c>
      <c r="P7" s="52">
        <f t="shared" si="5"/>
        <v>-7.6951603931021698E-2</v>
      </c>
      <c r="Q7" s="52">
        <f t="shared" si="6"/>
        <v>5.4238650060265167E-2</v>
      </c>
      <c r="R7" s="52">
        <f t="shared" si="7"/>
        <v>5.3535353535353533E-2</v>
      </c>
      <c r="S7" s="52">
        <f t="shared" si="8"/>
        <v>7.0329652491163408E-4</v>
      </c>
      <c r="T7" s="52">
        <f t="shared" si="9"/>
        <v>5.0751190912422132E-2</v>
      </c>
      <c r="U7" s="52">
        <f t="shared" si="10"/>
        <v>3.4874591478430347E-3</v>
      </c>
      <c r="V7" s="52">
        <f t="shared" si="11"/>
        <v>5.5627665492304842E-2</v>
      </c>
      <c r="W7" s="52">
        <f t="shared" si="12"/>
        <v>-1.3890154320396753E-3</v>
      </c>
      <c r="X7" s="57"/>
      <c r="Y7" s="57"/>
      <c r="Z7" s="80">
        <v>0.38596491228070173</v>
      </c>
      <c r="AA7" s="140">
        <v>0.53542098901748025</v>
      </c>
    </row>
    <row r="8" spans="1:27" s="58" customFormat="1" ht="16" x14ac:dyDescent="0.2">
      <c r="A8" s="81">
        <v>10</v>
      </c>
      <c r="B8" s="59" t="s">
        <v>3</v>
      </c>
      <c r="E8" s="56"/>
      <c r="G8" s="56"/>
      <c r="I8" s="56"/>
      <c r="L8" s="57"/>
      <c r="N8" s="57"/>
      <c r="P8" s="56"/>
      <c r="Q8" s="56"/>
      <c r="R8" s="56"/>
      <c r="S8" s="56"/>
      <c r="T8" s="56"/>
      <c r="U8" s="56"/>
      <c r="V8" s="56"/>
      <c r="W8" s="56"/>
      <c r="X8" s="67"/>
      <c r="Y8" s="67"/>
      <c r="Z8" s="65"/>
      <c r="AA8" s="144"/>
    </row>
    <row r="9" spans="1:27" s="55" customFormat="1" ht="16" x14ac:dyDescent="0.2">
      <c r="A9" s="73">
        <v>19</v>
      </c>
      <c r="B9" s="45" t="s">
        <v>4</v>
      </c>
      <c r="E9" s="52"/>
      <c r="G9" s="52"/>
      <c r="I9" s="52"/>
      <c r="L9" s="54"/>
      <c r="N9" s="54"/>
      <c r="P9" s="52"/>
      <c r="Q9" s="52"/>
      <c r="R9" s="52"/>
      <c r="S9" s="52"/>
      <c r="T9" s="52"/>
      <c r="U9" s="52"/>
      <c r="V9" s="52"/>
      <c r="W9" s="52"/>
      <c r="X9" s="84"/>
      <c r="Y9" s="84"/>
      <c r="Z9" s="80"/>
      <c r="AA9" s="141"/>
    </row>
    <row r="10" spans="1:27" s="55" customFormat="1" ht="16" x14ac:dyDescent="0.2">
      <c r="A10" s="73">
        <v>20</v>
      </c>
      <c r="B10" s="45" t="s">
        <v>36</v>
      </c>
      <c r="C10" s="76">
        <v>266</v>
      </c>
      <c r="D10" s="75">
        <v>352</v>
      </c>
      <c r="E10" s="52">
        <f t="shared" si="0"/>
        <v>0.32330827067669171</v>
      </c>
      <c r="F10" s="76">
        <v>171</v>
      </c>
      <c r="G10" s="52">
        <f t="shared" si="1"/>
        <v>1.0584795321637428</v>
      </c>
      <c r="H10" s="53">
        <v>170</v>
      </c>
      <c r="I10" s="52">
        <f t="shared" si="2"/>
        <v>1.0705882352941176</v>
      </c>
      <c r="J10" s="75">
        <v>3826</v>
      </c>
      <c r="K10" s="76">
        <v>3774</v>
      </c>
      <c r="L10" s="54">
        <f t="shared" si="3"/>
        <v>1.377848436671966E-2</v>
      </c>
      <c r="M10" s="76">
        <v>3870</v>
      </c>
      <c r="N10" s="54">
        <f t="shared" si="4"/>
        <v>-1.1369509043927648E-2</v>
      </c>
      <c r="O10" s="53">
        <v>4431</v>
      </c>
      <c r="P10" s="52">
        <f t="shared" si="5"/>
        <v>-0.1365380275332882</v>
      </c>
      <c r="Q10" s="52">
        <f t="shared" si="6"/>
        <v>9.2002090956612645E-2</v>
      </c>
      <c r="R10" s="52">
        <f t="shared" si="7"/>
        <v>7.0482246952835184E-2</v>
      </c>
      <c r="S10" s="52">
        <f t="shared" si="8"/>
        <v>2.1519844003777461E-2</v>
      </c>
      <c r="T10" s="52">
        <f t="shared" si="9"/>
        <v>4.4186046511627906E-2</v>
      </c>
      <c r="U10" s="52">
        <f t="shared" si="10"/>
        <v>4.7816044444984739E-2</v>
      </c>
      <c r="V10" s="52">
        <f t="shared" si="11"/>
        <v>3.8366057323403292E-2</v>
      </c>
      <c r="W10" s="52">
        <f t="shared" si="12"/>
        <v>5.3636033633209353E-2</v>
      </c>
      <c r="X10" s="87"/>
      <c r="Y10" s="72"/>
      <c r="Z10" s="80">
        <v>0.56666666666666665</v>
      </c>
      <c r="AA10" s="140">
        <v>0.41608028124527935</v>
      </c>
    </row>
    <row r="11" spans="1:27" s="58" customFormat="1" ht="16" x14ac:dyDescent="0.2">
      <c r="A11" s="81">
        <v>22</v>
      </c>
      <c r="B11" s="59" t="s">
        <v>37</v>
      </c>
      <c r="C11" s="62">
        <v>1144</v>
      </c>
      <c r="D11" s="61">
        <v>1182</v>
      </c>
      <c r="E11" s="56">
        <f t="shared" si="0"/>
        <v>3.3216783216783216E-2</v>
      </c>
      <c r="F11" s="62">
        <v>1042</v>
      </c>
      <c r="G11" s="56">
        <f t="shared" si="1"/>
        <v>0.1343570057581574</v>
      </c>
      <c r="H11" s="62">
        <v>888</v>
      </c>
      <c r="I11" s="56">
        <f t="shared" si="2"/>
        <v>0.33108108108108109</v>
      </c>
      <c r="J11" s="61">
        <v>8619</v>
      </c>
      <c r="K11" s="68">
        <v>8489</v>
      </c>
      <c r="L11" s="57">
        <f t="shared" si="3"/>
        <v>1.5313935681470138E-2</v>
      </c>
      <c r="M11" s="63">
        <v>8248</v>
      </c>
      <c r="N11" s="57">
        <f t="shared" si="4"/>
        <v>4.4980601357904944E-2</v>
      </c>
      <c r="O11" s="69">
        <v>9227</v>
      </c>
      <c r="P11" s="56">
        <f t="shared" si="5"/>
        <v>-6.5893573209060363E-2</v>
      </c>
      <c r="Q11" s="56">
        <f t="shared" si="6"/>
        <v>0.13713887922032719</v>
      </c>
      <c r="R11" s="56">
        <f t="shared" si="7"/>
        <v>0.13476263399693722</v>
      </c>
      <c r="S11" s="56">
        <f t="shared" si="8"/>
        <v>2.3762452233899722E-3</v>
      </c>
      <c r="T11" s="56">
        <f t="shared" si="9"/>
        <v>0.12633365664403493</v>
      </c>
      <c r="U11" s="56">
        <f t="shared" si="10"/>
        <v>1.0805222576292267E-2</v>
      </c>
      <c r="V11" s="56">
        <f t="shared" si="11"/>
        <v>9.6239297713232905E-2</v>
      </c>
      <c r="W11" s="56">
        <f t="shared" si="12"/>
        <v>4.0899581507094288E-2</v>
      </c>
      <c r="X11" s="66">
        <v>8.6956521739130432E-2</v>
      </c>
      <c r="Y11" s="66">
        <v>9.849312935209012E-2</v>
      </c>
      <c r="Z11" s="65">
        <v>0.22093023255813954</v>
      </c>
      <c r="AA11" s="143">
        <v>0.34826407258300945</v>
      </c>
    </row>
    <row r="12" spans="1:27" s="55" customFormat="1" ht="16" x14ac:dyDescent="0.2">
      <c r="A12" s="73">
        <v>23</v>
      </c>
      <c r="B12" s="45" t="s">
        <v>38</v>
      </c>
      <c r="C12" s="76">
        <v>2352</v>
      </c>
      <c r="D12" s="75">
        <v>2572</v>
      </c>
      <c r="E12" s="52">
        <f t="shared" si="0"/>
        <v>9.3537414965986401E-2</v>
      </c>
      <c r="F12" s="88">
        <v>2157</v>
      </c>
      <c r="G12" s="52">
        <f t="shared" si="1"/>
        <v>0.1923968474733426</v>
      </c>
      <c r="H12" s="90">
        <v>1757</v>
      </c>
      <c r="I12" s="52">
        <f t="shared" si="2"/>
        <v>0.46385885031303359</v>
      </c>
      <c r="J12" s="75">
        <v>22375</v>
      </c>
      <c r="K12" s="91">
        <v>22092</v>
      </c>
      <c r="L12" s="54">
        <f t="shared" si="3"/>
        <v>1.2810066992576499E-2</v>
      </c>
      <c r="M12" s="83">
        <v>21328</v>
      </c>
      <c r="N12" s="54">
        <f t="shared" si="4"/>
        <v>4.909039759939985E-2</v>
      </c>
      <c r="O12" s="89">
        <v>21665</v>
      </c>
      <c r="P12" s="52">
        <f t="shared" si="5"/>
        <v>3.2771751673205632E-2</v>
      </c>
      <c r="Q12" s="52">
        <f t="shared" si="6"/>
        <v>0.11494972067039107</v>
      </c>
      <c r="R12" s="52">
        <f t="shared" si="7"/>
        <v>0.10646387832699619</v>
      </c>
      <c r="S12" s="52">
        <f t="shared" si="8"/>
        <v>8.4858423433948754E-3</v>
      </c>
      <c r="T12" s="52">
        <f t="shared" si="9"/>
        <v>0.10113465866466617</v>
      </c>
      <c r="U12" s="52">
        <f t="shared" si="10"/>
        <v>1.3815062005724896E-2</v>
      </c>
      <c r="V12" s="52">
        <f t="shared" si="11"/>
        <v>8.1098546042003228E-2</v>
      </c>
      <c r="W12" s="52">
        <f t="shared" si="12"/>
        <v>3.385117462838784E-2</v>
      </c>
      <c r="X12" s="72">
        <v>0.12295081967213115</v>
      </c>
      <c r="Y12" s="72">
        <v>0.1669185491082826</v>
      </c>
      <c r="Z12" s="80">
        <v>0.28378378378378377</v>
      </c>
      <c r="AA12" s="140">
        <v>0.25241814163609161</v>
      </c>
    </row>
    <row r="13" spans="1:27" s="55" customFormat="1" ht="16" x14ac:dyDescent="0.2">
      <c r="A13" s="73">
        <v>27</v>
      </c>
      <c r="B13" s="45" t="s">
        <v>39</v>
      </c>
      <c r="C13" s="76">
        <v>368</v>
      </c>
      <c r="D13" s="75">
        <v>390</v>
      </c>
      <c r="E13" s="52">
        <f t="shared" si="0"/>
        <v>5.9782608695652176E-2</v>
      </c>
      <c r="F13" s="88">
        <v>300</v>
      </c>
      <c r="G13" s="52">
        <f t="shared" si="1"/>
        <v>0.3</v>
      </c>
      <c r="H13" s="90">
        <v>333</v>
      </c>
      <c r="I13" s="52">
        <f t="shared" si="2"/>
        <v>0.17117117117117117</v>
      </c>
      <c r="J13" s="75">
        <v>4696</v>
      </c>
      <c r="K13" s="78">
        <v>4640</v>
      </c>
      <c r="L13" s="54">
        <f t="shared" si="3"/>
        <v>1.2068965517241379E-2</v>
      </c>
      <c r="M13" s="83">
        <v>5046</v>
      </c>
      <c r="N13" s="54">
        <f t="shared" si="4"/>
        <v>-6.9361870788743563E-2</v>
      </c>
      <c r="O13" s="89">
        <v>6424</v>
      </c>
      <c r="P13" s="52">
        <f t="shared" si="5"/>
        <v>-0.26899128268991285</v>
      </c>
      <c r="Q13" s="52">
        <f t="shared" si="6"/>
        <v>8.3049403747870523E-2</v>
      </c>
      <c r="R13" s="52">
        <f t="shared" si="7"/>
        <v>7.9310344827586213E-2</v>
      </c>
      <c r="S13" s="52">
        <f t="shared" si="8"/>
        <v>3.7390589202843105E-3</v>
      </c>
      <c r="T13" s="52">
        <f t="shared" si="9"/>
        <v>5.9453032104637336E-2</v>
      </c>
      <c r="U13" s="52">
        <f t="shared" si="10"/>
        <v>2.3596371643233187E-2</v>
      </c>
      <c r="V13" s="52">
        <f t="shared" si="11"/>
        <v>5.1836861768368617E-2</v>
      </c>
      <c r="W13" s="52">
        <f t="shared" si="12"/>
        <v>3.1212541979501907E-2</v>
      </c>
      <c r="X13" s="72">
        <v>8.1081081081081086E-2</v>
      </c>
      <c r="Y13" s="72">
        <v>0.19161304161304163</v>
      </c>
      <c r="Z13" s="92">
        <v>0.33333333333333331</v>
      </c>
      <c r="AA13" s="142">
        <v>0.41521512113617381</v>
      </c>
    </row>
    <row r="14" spans="1:27" s="55" customFormat="1" ht="16" x14ac:dyDescent="0.2">
      <c r="A14" s="73">
        <v>28</v>
      </c>
      <c r="B14" s="45" t="s">
        <v>40</v>
      </c>
      <c r="C14" s="83">
        <v>208</v>
      </c>
      <c r="D14" s="75">
        <v>201</v>
      </c>
      <c r="E14" s="52">
        <f t="shared" si="0"/>
        <v>-3.3653846153846152E-2</v>
      </c>
      <c r="F14" s="88">
        <v>198</v>
      </c>
      <c r="G14" s="52">
        <f t="shared" si="1"/>
        <v>1.5151515151515152E-2</v>
      </c>
      <c r="H14" s="90">
        <v>229</v>
      </c>
      <c r="I14" s="52">
        <f t="shared" si="2"/>
        <v>-0.1222707423580786</v>
      </c>
      <c r="J14" s="75">
        <v>2971</v>
      </c>
      <c r="K14" s="93">
        <v>3062</v>
      </c>
      <c r="L14" s="54">
        <f t="shared" si="3"/>
        <v>-2.9719137818419335E-2</v>
      </c>
      <c r="M14" s="83">
        <v>3450</v>
      </c>
      <c r="N14" s="54">
        <f t="shared" si="4"/>
        <v>-0.13884057971014493</v>
      </c>
      <c r="O14" s="89">
        <v>4019</v>
      </c>
      <c r="P14" s="52">
        <f t="shared" si="5"/>
        <v>-0.26076138342871363</v>
      </c>
      <c r="Q14" s="52">
        <f t="shared" si="6"/>
        <v>6.7653988556041739E-2</v>
      </c>
      <c r="R14" s="52">
        <f t="shared" si="7"/>
        <v>6.7929457870672769E-2</v>
      </c>
      <c r="S14" s="52">
        <f t="shared" si="8"/>
        <v>-2.7546931463102997E-4</v>
      </c>
      <c r="T14" s="52">
        <f t="shared" si="9"/>
        <v>5.7391304347826085E-2</v>
      </c>
      <c r="U14" s="52">
        <f t="shared" si="10"/>
        <v>1.0262684208215654E-2</v>
      </c>
      <c r="V14" s="52">
        <f t="shared" si="11"/>
        <v>5.6979348096541427E-2</v>
      </c>
      <c r="W14" s="52">
        <f t="shared" si="12"/>
        <v>1.0674640459500312E-2</v>
      </c>
      <c r="X14" s="72">
        <v>0.35714285714285715</v>
      </c>
      <c r="Y14" s="72">
        <v>0.24944653299916458</v>
      </c>
      <c r="Z14" s="80">
        <v>0.3125</v>
      </c>
      <c r="AA14" s="140">
        <v>0.37169327303766664</v>
      </c>
    </row>
    <row r="15" spans="1:27" s="55" customFormat="1" ht="16" x14ac:dyDescent="0.2">
      <c r="A15" s="73">
        <v>33</v>
      </c>
      <c r="B15" s="45" t="s">
        <v>41</v>
      </c>
      <c r="C15" s="83">
        <v>616</v>
      </c>
      <c r="D15" s="75">
        <v>628</v>
      </c>
      <c r="E15" s="52">
        <f t="shared" si="0"/>
        <v>1.948051948051948E-2</v>
      </c>
      <c r="F15" s="88">
        <v>467</v>
      </c>
      <c r="G15" s="52">
        <f t="shared" si="1"/>
        <v>0.34475374732334046</v>
      </c>
      <c r="H15" s="90">
        <v>485</v>
      </c>
      <c r="I15" s="52">
        <f t="shared" si="2"/>
        <v>0.29484536082474228</v>
      </c>
      <c r="J15" s="75">
        <v>13634</v>
      </c>
      <c r="K15" s="93">
        <v>13464</v>
      </c>
      <c r="L15" s="54">
        <f t="shared" si="3"/>
        <v>1.2626262626262626E-2</v>
      </c>
      <c r="M15" s="83">
        <v>12988</v>
      </c>
      <c r="N15" s="54">
        <f t="shared" si="4"/>
        <v>4.9738219895287955E-2</v>
      </c>
      <c r="O15" s="89">
        <v>13329</v>
      </c>
      <c r="P15" s="52">
        <f t="shared" si="5"/>
        <v>2.2882436791957388E-2</v>
      </c>
      <c r="Q15" s="52">
        <f t="shared" si="6"/>
        <v>4.6061317294997801E-2</v>
      </c>
      <c r="R15" s="52">
        <f t="shared" si="7"/>
        <v>4.5751633986928102E-2</v>
      </c>
      <c r="S15" s="52">
        <f t="shared" si="8"/>
        <v>3.0968330806969979E-4</v>
      </c>
      <c r="T15" s="52">
        <f t="shared" si="9"/>
        <v>3.59562673236834E-2</v>
      </c>
      <c r="U15" s="52">
        <f t="shared" si="10"/>
        <v>1.0105049971314402E-2</v>
      </c>
      <c r="V15" s="52">
        <f t="shared" si="11"/>
        <v>3.6386825718358468E-2</v>
      </c>
      <c r="W15" s="52">
        <f t="shared" si="12"/>
        <v>9.6744915766393338E-3</v>
      </c>
      <c r="X15" s="72"/>
      <c r="Y15" s="72"/>
      <c r="Z15" s="80">
        <v>0.2</v>
      </c>
      <c r="AA15" s="140">
        <v>0.33149896710268228</v>
      </c>
    </row>
    <row r="16" spans="1:27" s="55" customFormat="1" ht="16" x14ac:dyDescent="0.2">
      <c r="A16" s="73">
        <v>34</v>
      </c>
      <c r="B16" s="45" t="s">
        <v>42</v>
      </c>
      <c r="C16" s="83">
        <v>1340</v>
      </c>
      <c r="D16" s="75">
        <v>1344</v>
      </c>
      <c r="E16" s="52">
        <f t="shared" si="0"/>
        <v>2.9850746268656717E-3</v>
      </c>
      <c r="F16" s="88">
        <v>1207</v>
      </c>
      <c r="G16" s="52">
        <f t="shared" si="1"/>
        <v>0.11350455675227837</v>
      </c>
      <c r="H16" s="90">
        <v>1162</v>
      </c>
      <c r="I16" s="52">
        <f t="shared" si="2"/>
        <v>0.15662650602409639</v>
      </c>
      <c r="J16" s="75">
        <v>19483</v>
      </c>
      <c r="K16" s="93">
        <v>19500</v>
      </c>
      <c r="L16" s="54">
        <f t="shared" si="3"/>
        <v>-8.7179487179487182E-4</v>
      </c>
      <c r="M16" s="83">
        <v>19394</v>
      </c>
      <c r="N16" s="54">
        <f t="shared" si="4"/>
        <v>4.5890481592245026E-3</v>
      </c>
      <c r="O16" s="89">
        <v>19432</v>
      </c>
      <c r="P16" s="52">
        <f t="shared" si="5"/>
        <v>2.6245368464388637E-3</v>
      </c>
      <c r="Q16" s="52">
        <f t="shared" si="6"/>
        <v>6.8983216137145198E-2</v>
      </c>
      <c r="R16" s="52">
        <f t="shared" si="7"/>
        <v>6.8717948717948715E-2</v>
      </c>
      <c r="S16" s="52">
        <f t="shared" si="8"/>
        <v>2.6526741919648267E-4</v>
      </c>
      <c r="T16" s="52">
        <f t="shared" si="9"/>
        <v>6.2235743013303084E-2</v>
      </c>
      <c r="U16" s="52">
        <f t="shared" si="10"/>
        <v>6.747473123842114E-3</v>
      </c>
      <c r="V16" s="52">
        <f t="shared" si="11"/>
        <v>5.9798270893371759E-2</v>
      </c>
      <c r="W16" s="52">
        <f t="shared" si="12"/>
        <v>9.1849452437734388E-3</v>
      </c>
      <c r="X16" s="84">
        <v>0.33057851239669422</v>
      </c>
      <c r="Y16" s="84">
        <v>0.26881378731877437</v>
      </c>
      <c r="Z16" s="80">
        <v>0.23148148148148148</v>
      </c>
      <c r="AA16" s="140">
        <v>0.30987781148818627</v>
      </c>
    </row>
    <row r="17" spans="1:27" s="55" customFormat="1" ht="16" x14ac:dyDescent="0.2">
      <c r="A17" s="73">
        <v>35</v>
      </c>
      <c r="B17" s="45" t="s">
        <v>43</v>
      </c>
      <c r="C17" s="83">
        <v>1542</v>
      </c>
      <c r="D17" s="75">
        <v>1476</v>
      </c>
      <c r="E17" s="52">
        <f t="shared" si="0"/>
        <v>-4.2801556420233464E-2</v>
      </c>
      <c r="F17" s="88">
        <v>1409</v>
      </c>
      <c r="G17" s="52">
        <f t="shared" si="1"/>
        <v>4.7551454932576294E-2</v>
      </c>
      <c r="H17" s="90">
        <v>1429</v>
      </c>
      <c r="I17" s="52">
        <f t="shared" si="2"/>
        <v>3.2890132960111965E-2</v>
      </c>
      <c r="J17" s="75">
        <v>21892</v>
      </c>
      <c r="K17" s="93">
        <v>21586</v>
      </c>
      <c r="L17" s="54">
        <f t="shared" si="3"/>
        <v>1.4175854720652274E-2</v>
      </c>
      <c r="M17" s="83">
        <v>19902</v>
      </c>
      <c r="N17" s="54">
        <f t="shared" si="4"/>
        <v>9.9989950758717722E-2</v>
      </c>
      <c r="O17" s="89">
        <v>19871</v>
      </c>
      <c r="P17" s="52">
        <f t="shared" si="5"/>
        <v>0.10170600372401993</v>
      </c>
      <c r="Q17" s="52">
        <f t="shared" si="6"/>
        <v>6.7421889274620866E-2</v>
      </c>
      <c r="R17" s="52">
        <f t="shared" si="7"/>
        <v>7.1435189474659502E-2</v>
      </c>
      <c r="S17" s="52">
        <f t="shared" si="8"/>
        <v>-4.0133002000386359E-3</v>
      </c>
      <c r="T17" s="52">
        <f t="shared" si="9"/>
        <v>7.0796904833685059E-2</v>
      </c>
      <c r="U17" s="52">
        <f t="shared" si="10"/>
        <v>-3.3750155590641928E-3</v>
      </c>
      <c r="V17" s="52">
        <f t="shared" si="11"/>
        <v>7.191384429570731E-2</v>
      </c>
      <c r="W17" s="52">
        <f t="shared" si="12"/>
        <v>-4.491955021086444E-3</v>
      </c>
      <c r="X17" s="84">
        <v>2.3809523809523808E-2</v>
      </c>
      <c r="Y17" s="84">
        <v>7.5891229805265442E-2</v>
      </c>
      <c r="Z17" s="80">
        <v>0.60571428571428576</v>
      </c>
      <c r="AA17" s="140">
        <v>0.53662481246491966</v>
      </c>
    </row>
    <row r="18" spans="1:27" s="55" customFormat="1" ht="16" x14ac:dyDescent="0.2">
      <c r="A18" s="73">
        <v>36</v>
      </c>
      <c r="B18" s="45" t="s">
        <v>44</v>
      </c>
      <c r="C18" s="76">
        <v>3362</v>
      </c>
      <c r="D18" s="75">
        <v>3252</v>
      </c>
      <c r="E18" s="52">
        <f t="shared" si="0"/>
        <v>-3.2718619869125519E-2</v>
      </c>
      <c r="F18" s="88">
        <v>3170</v>
      </c>
      <c r="G18" s="52">
        <f t="shared" si="1"/>
        <v>2.5867507886435333E-2</v>
      </c>
      <c r="H18" s="90">
        <v>2931</v>
      </c>
      <c r="I18" s="52">
        <f t="shared" si="2"/>
        <v>0.10951893551688843</v>
      </c>
      <c r="J18" s="75">
        <v>72782</v>
      </c>
      <c r="K18" s="94">
        <v>71838</v>
      </c>
      <c r="L18" s="54">
        <f t="shared" si="3"/>
        <v>1.3140677635791641E-2</v>
      </c>
      <c r="M18" s="83">
        <v>71974</v>
      </c>
      <c r="N18" s="54">
        <f t="shared" si="4"/>
        <v>1.1226276155278296E-2</v>
      </c>
      <c r="O18" s="89">
        <v>67112</v>
      </c>
      <c r="P18" s="52">
        <f t="shared" si="5"/>
        <v>8.4485635951841692E-2</v>
      </c>
      <c r="Q18" s="52">
        <f t="shared" si="6"/>
        <v>4.4681377263609136E-2</v>
      </c>
      <c r="R18" s="52">
        <f t="shared" si="7"/>
        <v>4.6799743868147774E-2</v>
      </c>
      <c r="S18" s="52">
        <f t="shared" si="8"/>
        <v>-2.1183666045386379E-3</v>
      </c>
      <c r="T18" s="52">
        <f t="shared" si="9"/>
        <v>4.4043682440881429E-2</v>
      </c>
      <c r="U18" s="52">
        <f t="shared" si="10"/>
        <v>6.3769482272770656E-4</v>
      </c>
      <c r="V18" s="52">
        <f t="shared" si="11"/>
        <v>4.3673262605793302E-2</v>
      </c>
      <c r="W18" s="52">
        <f t="shared" si="12"/>
        <v>1.008114657815834E-3</v>
      </c>
      <c r="X18" s="84">
        <v>0.17832167832167833</v>
      </c>
      <c r="Y18" s="84">
        <v>0.14045984086705304</v>
      </c>
      <c r="Z18" s="80">
        <v>0.26041666666666669</v>
      </c>
      <c r="AA18" s="146">
        <v>0.31881294105497682</v>
      </c>
    </row>
    <row r="19" spans="1:27" s="55" customFormat="1" ht="16" x14ac:dyDescent="0.2">
      <c r="A19" s="73">
        <v>37</v>
      </c>
      <c r="B19" s="45" t="s">
        <v>45</v>
      </c>
      <c r="C19" s="83">
        <v>2034</v>
      </c>
      <c r="D19" s="75">
        <v>1994</v>
      </c>
      <c r="E19" s="52">
        <f t="shared" si="0"/>
        <v>-1.966568338249754E-2</v>
      </c>
      <c r="F19" s="88">
        <v>2006</v>
      </c>
      <c r="G19" s="52">
        <f t="shared" si="1"/>
        <v>-5.9820538384845467E-3</v>
      </c>
      <c r="H19" s="90">
        <v>1746</v>
      </c>
      <c r="I19" s="52">
        <f t="shared" si="2"/>
        <v>0.1420389461626575</v>
      </c>
      <c r="J19" s="75">
        <v>16489</v>
      </c>
      <c r="K19" s="88">
        <v>16414</v>
      </c>
      <c r="L19" s="54">
        <f t="shared" si="3"/>
        <v>4.5692701352503962E-3</v>
      </c>
      <c r="M19" s="83">
        <v>16123</v>
      </c>
      <c r="N19" s="54">
        <f t="shared" si="4"/>
        <v>2.2700489983253736E-2</v>
      </c>
      <c r="O19" s="89">
        <v>16678</v>
      </c>
      <c r="P19" s="52">
        <f t="shared" si="5"/>
        <v>-1.1332294040052765E-2</v>
      </c>
      <c r="Q19" s="52">
        <f t="shared" si="6"/>
        <v>0.12092910425131906</v>
      </c>
      <c r="R19" s="52">
        <f t="shared" si="7"/>
        <v>0.12391860606799074</v>
      </c>
      <c r="S19" s="52">
        <f t="shared" si="8"/>
        <v>-2.9895018166716802E-3</v>
      </c>
      <c r="T19" s="52">
        <f t="shared" si="9"/>
        <v>0.12441853253116665</v>
      </c>
      <c r="U19" s="52">
        <f t="shared" si="10"/>
        <v>-3.4894282798475923E-3</v>
      </c>
      <c r="V19" s="52">
        <f t="shared" si="11"/>
        <v>0.10468881160810649</v>
      </c>
      <c r="W19" s="52">
        <f t="shared" si="12"/>
        <v>1.624029264321257E-2</v>
      </c>
      <c r="X19" s="72">
        <v>0.13071895424836602</v>
      </c>
      <c r="Y19" s="72">
        <v>0.12730377287728079</v>
      </c>
      <c r="Z19" s="80">
        <v>0.435</v>
      </c>
      <c r="AA19" s="140">
        <v>0.35593797912124181</v>
      </c>
    </row>
    <row r="20" spans="1:27" s="55" customFormat="1" ht="16" x14ac:dyDescent="0.2">
      <c r="A20" s="73">
        <v>38</v>
      </c>
      <c r="B20" s="45" t="s">
        <v>46</v>
      </c>
      <c r="C20" s="83">
        <v>2248</v>
      </c>
      <c r="D20" s="75">
        <v>2317</v>
      </c>
      <c r="E20" s="52">
        <f t="shared" si="0"/>
        <v>3.0693950177935941E-2</v>
      </c>
      <c r="F20" s="88">
        <v>2242</v>
      </c>
      <c r="G20" s="52">
        <f t="shared" si="1"/>
        <v>3.345227475468332E-2</v>
      </c>
      <c r="H20" s="90">
        <v>2051</v>
      </c>
      <c r="I20" s="52">
        <f t="shared" si="2"/>
        <v>0.12969283276450511</v>
      </c>
      <c r="J20" s="75">
        <v>20855</v>
      </c>
      <c r="K20" s="88">
        <v>20845</v>
      </c>
      <c r="L20" s="54">
        <f t="shared" si="3"/>
        <v>4.797313504437515E-4</v>
      </c>
      <c r="M20" s="83">
        <v>22138</v>
      </c>
      <c r="N20" s="54">
        <f t="shared" si="4"/>
        <v>-5.7954648116361009E-2</v>
      </c>
      <c r="O20" s="89">
        <v>23172</v>
      </c>
      <c r="P20" s="52">
        <f t="shared" si="5"/>
        <v>-9.9991368893492152E-2</v>
      </c>
      <c r="Q20" s="52">
        <f t="shared" si="6"/>
        <v>0.11110045552625269</v>
      </c>
      <c r="R20" s="52">
        <f t="shared" si="7"/>
        <v>0.10784360757975534</v>
      </c>
      <c r="S20" s="52">
        <f t="shared" si="8"/>
        <v>3.2568479464973599E-3</v>
      </c>
      <c r="T20" s="52">
        <f t="shared" si="9"/>
        <v>0.10127382780739001</v>
      </c>
      <c r="U20" s="52">
        <f t="shared" si="10"/>
        <v>9.8266277188626822E-3</v>
      </c>
      <c r="V20" s="52">
        <f t="shared" si="11"/>
        <v>8.8511997238045911E-2</v>
      </c>
      <c r="W20" s="52">
        <f t="shared" si="12"/>
        <v>2.2588458288206784E-2</v>
      </c>
      <c r="X20" s="84">
        <v>0.135678391959799</v>
      </c>
      <c r="Y20" s="84">
        <v>0.17580218370957063</v>
      </c>
      <c r="Z20" s="80">
        <v>0.3125</v>
      </c>
      <c r="AA20" s="140">
        <v>0.29182382672983137</v>
      </c>
    </row>
    <row r="21" spans="1:27" s="55" customFormat="1" ht="16" x14ac:dyDescent="0.2">
      <c r="A21" s="73">
        <v>39</v>
      </c>
      <c r="B21" s="45" t="s">
        <v>47</v>
      </c>
      <c r="C21" s="76">
        <v>5354</v>
      </c>
      <c r="D21" s="75">
        <v>5213</v>
      </c>
      <c r="E21" s="52">
        <f t="shared" si="0"/>
        <v>-2.6335450130743371E-2</v>
      </c>
      <c r="F21" s="88">
        <v>4962</v>
      </c>
      <c r="G21" s="52">
        <f t="shared" si="1"/>
        <v>5.0584441757355908E-2</v>
      </c>
      <c r="H21" s="90">
        <v>4176</v>
      </c>
      <c r="I21" s="52">
        <f t="shared" si="2"/>
        <v>0.24832375478927204</v>
      </c>
      <c r="J21" s="75">
        <v>51682</v>
      </c>
      <c r="K21" s="88">
        <v>52247</v>
      </c>
      <c r="L21" s="54">
        <f t="shared" si="3"/>
        <v>-1.0814018029743334E-2</v>
      </c>
      <c r="M21" s="83">
        <v>56669</v>
      </c>
      <c r="N21" s="54">
        <f t="shared" si="4"/>
        <v>-8.8002258730522864E-2</v>
      </c>
      <c r="O21" s="89">
        <v>59048</v>
      </c>
      <c r="P21" s="52">
        <f t="shared" si="5"/>
        <v>-0.1247459693808427</v>
      </c>
      <c r="Q21" s="52">
        <f t="shared" si="6"/>
        <v>0.10086683951859449</v>
      </c>
      <c r="R21" s="52">
        <f t="shared" si="7"/>
        <v>0.10247478324114304</v>
      </c>
      <c r="S21" s="52">
        <f t="shared" si="8"/>
        <v>-1.6079437225485493E-3</v>
      </c>
      <c r="T21" s="52">
        <f t="shared" si="9"/>
        <v>8.7561100425276608E-2</v>
      </c>
      <c r="U21" s="52">
        <f t="shared" si="10"/>
        <v>1.3305739093317878E-2</v>
      </c>
      <c r="V21" s="52">
        <f t="shared" si="11"/>
        <v>7.0722124373391135E-2</v>
      </c>
      <c r="W21" s="52">
        <f t="shared" si="12"/>
        <v>3.0144715145203352E-2</v>
      </c>
      <c r="X21" s="84">
        <v>0.17989417989417988</v>
      </c>
      <c r="Y21" s="84">
        <v>0.18749723685558622</v>
      </c>
      <c r="Z21" s="80">
        <v>0.48970251716247137</v>
      </c>
      <c r="AA21" s="140">
        <v>0.45826847076408184</v>
      </c>
    </row>
    <row r="22" spans="1:27" s="55" customFormat="1" ht="16" x14ac:dyDescent="0.2">
      <c r="A22" s="73">
        <v>40</v>
      </c>
      <c r="B22" s="45" t="s">
        <v>48</v>
      </c>
      <c r="C22" s="83">
        <v>993</v>
      </c>
      <c r="D22" s="75">
        <v>998</v>
      </c>
      <c r="E22" s="52">
        <f t="shared" si="0"/>
        <v>5.0352467270896274E-3</v>
      </c>
      <c r="F22" s="88">
        <v>972</v>
      </c>
      <c r="G22" s="52">
        <f t="shared" si="1"/>
        <v>2.6748971193415638E-2</v>
      </c>
      <c r="H22" s="90">
        <v>774</v>
      </c>
      <c r="I22" s="52">
        <f t="shared" si="2"/>
        <v>0.28940568475452194</v>
      </c>
      <c r="J22" s="75">
        <v>7776</v>
      </c>
      <c r="K22" s="88">
        <v>7634</v>
      </c>
      <c r="L22" s="54">
        <f t="shared" si="3"/>
        <v>1.8600995546240503E-2</v>
      </c>
      <c r="M22" s="83">
        <v>7548</v>
      </c>
      <c r="N22" s="54">
        <f t="shared" si="4"/>
        <v>3.0206677265500796E-2</v>
      </c>
      <c r="O22" s="89">
        <v>7394</v>
      </c>
      <c r="P22" s="52">
        <f t="shared" si="5"/>
        <v>5.166351095482824E-2</v>
      </c>
      <c r="Q22" s="52">
        <f t="shared" si="6"/>
        <v>0.12834362139917696</v>
      </c>
      <c r="R22" s="52">
        <f t="shared" si="7"/>
        <v>0.13007597589730155</v>
      </c>
      <c r="S22" s="52">
        <f t="shared" si="8"/>
        <v>-1.7323544981245886E-3</v>
      </c>
      <c r="T22" s="52">
        <f t="shared" si="9"/>
        <v>0.12877583465818759</v>
      </c>
      <c r="U22" s="52">
        <f t="shared" si="10"/>
        <v>-4.3221325901063312E-4</v>
      </c>
      <c r="V22" s="52">
        <f t="shared" si="11"/>
        <v>0.10467946984041114</v>
      </c>
      <c r="W22" s="52">
        <f t="shared" si="12"/>
        <v>2.366415155876582E-2</v>
      </c>
      <c r="X22" s="84">
        <v>0.22857142857142856</v>
      </c>
      <c r="Y22" s="84">
        <v>0.21135048643113161</v>
      </c>
      <c r="Z22" s="80">
        <v>0.47058823529411764</v>
      </c>
      <c r="AA22" s="140">
        <v>0.41706121895491016</v>
      </c>
    </row>
    <row r="23" spans="1:27" s="55" customFormat="1" ht="16" x14ac:dyDescent="0.2">
      <c r="A23" s="73">
        <v>41</v>
      </c>
      <c r="B23" s="45" t="s">
        <v>49</v>
      </c>
      <c r="C23" s="53">
        <v>2272</v>
      </c>
      <c r="D23" s="75">
        <v>2260</v>
      </c>
      <c r="E23" s="52">
        <f t="shared" si="0"/>
        <v>-5.2816901408450703E-3</v>
      </c>
      <c r="F23" s="88">
        <v>2086</v>
      </c>
      <c r="G23" s="52">
        <f t="shared" si="1"/>
        <v>8.3413231064237772E-2</v>
      </c>
      <c r="H23" s="90">
        <v>1727</v>
      </c>
      <c r="I23" s="52">
        <f t="shared" si="2"/>
        <v>0.30862767805442964</v>
      </c>
      <c r="J23" s="75">
        <v>25482</v>
      </c>
      <c r="K23" s="90">
        <v>25120</v>
      </c>
      <c r="L23" s="54">
        <f t="shared" si="3"/>
        <v>1.4410828025477707E-2</v>
      </c>
      <c r="M23" s="83">
        <v>25023</v>
      </c>
      <c r="N23" s="54">
        <f t="shared" si="4"/>
        <v>1.8343124325620429E-2</v>
      </c>
      <c r="O23" s="89">
        <v>25734</v>
      </c>
      <c r="P23" s="52">
        <f t="shared" si="5"/>
        <v>-9.7924924224761008E-3</v>
      </c>
      <c r="Q23" s="52">
        <f t="shared" si="6"/>
        <v>8.8690055725610228E-2</v>
      </c>
      <c r="R23" s="52">
        <f t="shared" si="7"/>
        <v>9.0445859872611459E-2</v>
      </c>
      <c r="S23" s="52">
        <f t="shared" si="8"/>
        <v>-1.7558041470012303E-3</v>
      </c>
      <c r="T23" s="52">
        <f t="shared" si="9"/>
        <v>8.3363305758701989E-2</v>
      </c>
      <c r="U23" s="52">
        <f t="shared" si="10"/>
        <v>5.3267499669082397E-3</v>
      </c>
      <c r="V23" s="52">
        <f t="shared" si="11"/>
        <v>6.7109660371492963E-2</v>
      </c>
      <c r="W23" s="52">
        <f t="shared" si="12"/>
        <v>2.1580395354117266E-2</v>
      </c>
      <c r="X23" s="84">
        <v>0.22707423580786026</v>
      </c>
      <c r="Y23" s="84">
        <v>0.21639966912915529</v>
      </c>
      <c r="Z23" s="80">
        <v>0.44978165938864628</v>
      </c>
      <c r="AA23" s="140">
        <v>0.48911725478998808</v>
      </c>
    </row>
    <row r="24" spans="1:27" s="55" customFormat="1" ht="16" x14ac:dyDescent="0.2">
      <c r="A24" s="73">
        <v>42</v>
      </c>
      <c r="B24" s="45" t="s">
        <v>50</v>
      </c>
      <c r="C24" s="83">
        <v>1569</v>
      </c>
      <c r="D24" s="75">
        <v>1591</v>
      </c>
      <c r="E24" s="52">
        <f t="shared" si="0"/>
        <v>1.4021669853409816E-2</v>
      </c>
      <c r="F24" s="88">
        <v>1431</v>
      </c>
      <c r="G24" s="52">
        <f t="shared" si="1"/>
        <v>0.11180992313067785</v>
      </c>
      <c r="H24" s="90">
        <v>1440</v>
      </c>
      <c r="I24" s="52">
        <f t="shared" si="2"/>
        <v>0.10486111111111111</v>
      </c>
      <c r="J24" s="75">
        <v>15074</v>
      </c>
      <c r="K24" s="88">
        <v>15036</v>
      </c>
      <c r="L24" s="54">
        <f t="shared" si="3"/>
        <v>2.5272678903963822E-3</v>
      </c>
      <c r="M24" s="83">
        <v>14759</v>
      </c>
      <c r="N24" s="54">
        <f t="shared" si="4"/>
        <v>2.1342909411206722E-2</v>
      </c>
      <c r="O24" s="89">
        <v>15358</v>
      </c>
      <c r="P24" s="52">
        <f t="shared" si="5"/>
        <v>-1.8491991144680298E-2</v>
      </c>
      <c r="Q24" s="52">
        <f t="shared" si="6"/>
        <v>0.10554597319888549</v>
      </c>
      <c r="R24" s="52">
        <f t="shared" si="7"/>
        <v>0.10434956105347166</v>
      </c>
      <c r="S24" s="52">
        <f t="shared" si="8"/>
        <v>1.1964121454138277E-3</v>
      </c>
      <c r="T24" s="52">
        <f t="shared" si="9"/>
        <v>9.6957788468053391E-2</v>
      </c>
      <c r="U24" s="52">
        <f t="shared" si="10"/>
        <v>8.5881847308321019E-3</v>
      </c>
      <c r="V24" s="52">
        <f t="shared" si="11"/>
        <v>9.3762208620914181E-2</v>
      </c>
      <c r="W24" s="52">
        <f t="shared" si="12"/>
        <v>1.1783764577971312E-2</v>
      </c>
      <c r="X24" s="95">
        <v>0.11377245508982035</v>
      </c>
      <c r="Y24" s="95">
        <v>0.14587981000915159</v>
      </c>
      <c r="Z24" s="96">
        <v>0.40517241379310343</v>
      </c>
      <c r="AA24" s="147">
        <v>0.55928475972193781</v>
      </c>
    </row>
    <row r="25" spans="1:27" s="55" customFormat="1" ht="16" x14ac:dyDescent="0.2">
      <c r="A25" s="73">
        <v>43</v>
      </c>
      <c r="B25" s="45" t="s">
        <v>51</v>
      </c>
      <c r="C25" s="97">
        <v>3960</v>
      </c>
      <c r="D25" s="75">
        <v>3953</v>
      </c>
      <c r="E25" s="52">
        <f t="shared" si="0"/>
        <v>-1.7676767676767678E-3</v>
      </c>
      <c r="F25" s="88">
        <v>3258</v>
      </c>
      <c r="G25" s="52">
        <f t="shared" si="1"/>
        <v>0.21332105586249234</v>
      </c>
      <c r="H25" s="90">
        <v>2426</v>
      </c>
      <c r="I25" s="52">
        <f t="shared" si="2"/>
        <v>0.62943116240725472</v>
      </c>
      <c r="J25" s="75">
        <v>33157</v>
      </c>
      <c r="K25" s="98">
        <v>33033</v>
      </c>
      <c r="L25" s="54">
        <f t="shared" si="3"/>
        <v>3.7538219356401175E-3</v>
      </c>
      <c r="M25" s="83">
        <v>33436</v>
      </c>
      <c r="N25" s="54">
        <f t="shared" si="4"/>
        <v>-8.3442995573633216E-3</v>
      </c>
      <c r="O25" s="89">
        <v>31960</v>
      </c>
      <c r="P25" s="52">
        <f t="shared" si="5"/>
        <v>3.7453066332916146E-2</v>
      </c>
      <c r="Q25" s="52">
        <f t="shared" si="6"/>
        <v>0.11922067738335797</v>
      </c>
      <c r="R25" s="52">
        <f t="shared" si="7"/>
        <v>0.11988011988011989</v>
      </c>
      <c r="S25" s="52">
        <f t="shared" si="8"/>
        <v>-6.5944249676191946E-4</v>
      </c>
      <c r="T25" s="52">
        <f t="shared" si="9"/>
        <v>9.7439885153726521E-2</v>
      </c>
      <c r="U25" s="52">
        <f t="shared" si="10"/>
        <v>2.1780792229631446E-2</v>
      </c>
      <c r="V25" s="52">
        <f t="shared" si="11"/>
        <v>7.5907384230287867E-2</v>
      </c>
      <c r="W25" s="52">
        <f t="shared" si="12"/>
        <v>4.3313293153070101E-2</v>
      </c>
      <c r="X25" s="84">
        <v>0.27461139896373055</v>
      </c>
      <c r="Y25" s="84">
        <v>0.21834615024987594</v>
      </c>
      <c r="Z25" s="80">
        <v>0.23426573426573427</v>
      </c>
      <c r="AA25" s="140">
        <v>0.31783901316022595</v>
      </c>
    </row>
    <row r="26" spans="1:27" s="55" customFormat="1" ht="16" x14ac:dyDescent="0.2">
      <c r="A26" s="73">
        <v>44</v>
      </c>
      <c r="B26" s="45" t="s">
        <v>52</v>
      </c>
      <c r="C26" s="83">
        <v>2529</v>
      </c>
      <c r="D26" s="75">
        <v>2499</v>
      </c>
      <c r="E26" s="52">
        <f t="shared" si="0"/>
        <v>-1.1862396204033215E-2</v>
      </c>
      <c r="F26" s="88">
        <v>2393</v>
      </c>
      <c r="G26" s="52">
        <f t="shared" si="1"/>
        <v>4.4295862933556203E-2</v>
      </c>
      <c r="H26" s="90">
        <v>2071</v>
      </c>
      <c r="I26" s="52">
        <f t="shared" si="2"/>
        <v>0.20666344760985031</v>
      </c>
      <c r="J26" s="75">
        <v>15994</v>
      </c>
      <c r="K26" s="88">
        <v>16017</v>
      </c>
      <c r="L26" s="54">
        <f t="shared" si="3"/>
        <v>-1.4359742773303364E-3</v>
      </c>
      <c r="M26" s="83">
        <v>15773</v>
      </c>
      <c r="N26" s="54">
        <f t="shared" si="4"/>
        <v>1.4011285107462119E-2</v>
      </c>
      <c r="O26" s="89">
        <v>17249</v>
      </c>
      <c r="P26" s="52">
        <f t="shared" si="5"/>
        <v>-7.275784103426286E-2</v>
      </c>
      <c r="Q26" s="52">
        <f t="shared" si="6"/>
        <v>0.15624609228460673</v>
      </c>
      <c r="R26" s="52">
        <f t="shared" si="7"/>
        <v>0.15789473684210525</v>
      </c>
      <c r="S26" s="52">
        <f t="shared" si="8"/>
        <v>-1.6486445574985242E-3</v>
      </c>
      <c r="T26" s="52">
        <f t="shared" si="9"/>
        <v>0.15171495593736131</v>
      </c>
      <c r="U26" s="52">
        <f t="shared" si="10"/>
        <v>4.531136347245418E-3</v>
      </c>
      <c r="V26" s="52">
        <f t="shared" si="11"/>
        <v>0.12006493130036523</v>
      </c>
      <c r="W26" s="52">
        <f t="shared" si="12"/>
        <v>3.6181160984241498E-2</v>
      </c>
      <c r="X26" s="95">
        <v>0.21030042918454936</v>
      </c>
      <c r="Y26" s="95">
        <v>0.15951871641318752</v>
      </c>
      <c r="Z26" s="80">
        <v>0.41860465116279072</v>
      </c>
      <c r="AA26" s="140">
        <v>0.32505776428400573</v>
      </c>
    </row>
    <row r="27" spans="1:27" s="55" customFormat="1" ht="16" x14ac:dyDescent="0.2">
      <c r="A27" s="73">
        <v>45</v>
      </c>
      <c r="B27" s="45" t="s">
        <v>53</v>
      </c>
      <c r="C27" s="83">
        <v>1029</v>
      </c>
      <c r="D27" s="75">
        <v>1040</v>
      </c>
      <c r="E27" s="52">
        <f t="shared" si="0"/>
        <v>1.0689990281827016E-2</v>
      </c>
      <c r="F27" s="88">
        <v>907</v>
      </c>
      <c r="G27" s="52">
        <f t="shared" si="1"/>
        <v>0.14663726571113561</v>
      </c>
      <c r="H27" s="90">
        <v>820</v>
      </c>
      <c r="I27" s="52">
        <f t="shared" si="2"/>
        <v>0.26829268292682928</v>
      </c>
      <c r="J27" s="75">
        <v>7343</v>
      </c>
      <c r="K27" s="88">
        <v>7293</v>
      </c>
      <c r="L27" s="54">
        <f t="shared" si="3"/>
        <v>6.8558892088303857E-3</v>
      </c>
      <c r="M27" s="83">
        <v>7112</v>
      </c>
      <c r="N27" s="54">
        <f t="shared" si="4"/>
        <v>3.2480314960629919E-2</v>
      </c>
      <c r="O27" s="89">
        <v>6853</v>
      </c>
      <c r="P27" s="52">
        <f t="shared" si="5"/>
        <v>7.1501532175689483E-2</v>
      </c>
      <c r="Q27" s="52">
        <f t="shared" si="6"/>
        <v>0.14163148576875936</v>
      </c>
      <c r="R27" s="52">
        <f t="shared" si="7"/>
        <v>0.14109419991772934</v>
      </c>
      <c r="S27" s="52">
        <f t="shared" si="8"/>
        <v>5.3728585103002269E-4</v>
      </c>
      <c r="T27" s="52">
        <f t="shared" si="9"/>
        <v>0.12753093363329585</v>
      </c>
      <c r="U27" s="52">
        <f t="shared" si="10"/>
        <v>1.4100552135463518E-2</v>
      </c>
      <c r="V27" s="52">
        <f t="shared" si="11"/>
        <v>0.11965562527360279</v>
      </c>
      <c r="W27" s="52">
        <f t="shared" si="12"/>
        <v>2.1975860495156568E-2</v>
      </c>
      <c r="X27" s="84">
        <v>4.1666666666666664E-2</v>
      </c>
      <c r="Y27" s="84">
        <v>5.8772202734990599E-2</v>
      </c>
      <c r="Z27" s="80">
        <v>0.25</v>
      </c>
      <c r="AA27" s="140">
        <v>0.41984520939106768</v>
      </c>
    </row>
    <row r="28" spans="1:27" s="55" customFormat="1" ht="16" x14ac:dyDescent="0.2">
      <c r="A28" s="73">
        <v>46</v>
      </c>
      <c r="B28" s="45" t="s">
        <v>10</v>
      </c>
      <c r="C28" s="99"/>
      <c r="D28" s="99"/>
      <c r="E28" s="52"/>
      <c r="G28" s="52"/>
      <c r="I28" s="52"/>
      <c r="L28" s="54"/>
      <c r="N28" s="54"/>
      <c r="P28" s="52"/>
      <c r="Q28" s="52"/>
      <c r="R28" s="52"/>
      <c r="S28" s="52"/>
      <c r="T28" s="52"/>
      <c r="U28" s="52"/>
      <c r="V28" s="52"/>
      <c r="W28" s="52"/>
      <c r="X28" s="84"/>
      <c r="Y28" s="84"/>
      <c r="Z28" s="80"/>
      <c r="AA28" s="141"/>
    </row>
    <row r="29" spans="1:27" s="55" customFormat="1" ht="17" x14ac:dyDescent="0.2">
      <c r="A29" s="73">
        <v>47</v>
      </c>
      <c r="B29" s="45" t="s">
        <v>54</v>
      </c>
      <c r="C29" s="83">
        <v>141</v>
      </c>
      <c r="D29" s="75">
        <v>156</v>
      </c>
      <c r="E29" s="52">
        <f t="shared" si="0"/>
        <v>0.10638297872340426</v>
      </c>
      <c r="F29" s="88">
        <v>54</v>
      </c>
      <c r="G29" s="52">
        <f t="shared" si="1"/>
        <v>1.8888888888888888</v>
      </c>
      <c r="H29" s="88"/>
      <c r="I29" s="54" t="s">
        <v>85</v>
      </c>
      <c r="J29" s="75">
        <v>2207</v>
      </c>
      <c r="K29" s="88">
        <v>2096</v>
      </c>
      <c r="L29" s="54">
        <f t="shared" si="3"/>
        <v>5.2958015267175571E-2</v>
      </c>
      <c r="M29" s="83">
        <v>2118</v>
      </c>
      <c r="N29" s="54">
        <f t="shared" si="4"/>
        <v>4.2020774315391876E-2</v>
      </c>
      <c r="O29" s="83">
        <v>2510</v>
      </c>
      <c r="P29" s="52">
        <f t="shared" si="5"/>
        <v>-0.12071713147410358</v>
      </c>
      <c r="Q29" s="52">
        <f t="shared" si="6"/>
        <v>7.0684186678749428E-2</v>
      </c>
      <c r="R29" s="52">
        <f t="shared" si="7"/>
        <v>6.7270992366412208E-2</v>
      </c>
      <c r="S29" s="52">
        <f t="shared" si="8"/>
        <v>3.4131943123372199E-3</v>
      </c>
      <c r="T29" s="52">
        <f t="shared" si="9"/>
        <v>2.5495750708215296E-2</v>
      </c>
      <c r="U29" s="52">
        <f t="shared" si="10"/>
        <v>4.5188435970534131E-2</v>
      </c>
      <c r="V29" s="52"/>
      <c r="W29" s="52"/>
      <c r="X29" s="100">
        <v>0.19047619047619047</v>
      </c>
      <c r="Y29" s="100">
        <v>2.0238095238095236E-2</v>
      </c>
      <c r="Z29" s="92"/>
      <c r="AA29" s="142"/>
    </row>
    <row r="30" spans="1:27" s="58" customFormat="1" ht="16" x14ac:dyDescent="0.2">
      <c r="A30" s="81">
        <v>48</v>
      </c>
      <c r="B30" s="59" t="s">
        <v>55</v>
      </c>
      <c r="C30" s="101">
        <v>927</v>
      </c>
      <c r="D30" s="61">
        <v>1031</v>
      </c>
      <c r="E30" s="56">
        <f t="shared" si="0"/>
        <v>0.1121898597626753</v>
      </c>
      <c r="F30" s="68">
        <v>443</v>
      </c>
      <c r="G30" s="56">
        <f t="shared" si="1"/>
        <v>1.327313769751693</v>
      </c>
      <c r="H30" s="70">
        <v>310</v>
      </c>
      <c r="I30" s="56">
        <f t="shared" si="2"/>
        <v>2.3258064516129031</v>
      </c>
      <c r="J30" s="61">
        <v>5007</v>
      </c>
      <c r="K30" s="68">
        <v>4919</v>
      </c>
      <c r="L30" s="57">
        <f t="shared" si="3"/>
        <v>1.7889815003049401E-2</v>
      </c>
      <c r="M30" s="63">
        <v>4313</v>
      </c>
      <c r="N30" s="57">
        <f t="shared" si="4"/>
        <v>0.16090888012984003</v>
      </c>
      <c r="O30" s="69">
        <v>4310</v>
      </c>
      <c r="P30" s="56">
        <f t="shared" si="5"/>
        <v>0.1617169373549884</v>
      </c>
      <c r="Q30" s="56">
        <f t="shared" si="6"/>
        <v>0.20591172358697823</v>
      </c>
      <c r="R30" s="56">
        <f t="shared" si="7"/>
        <v>0.18845293758894086</v>
      </c>
      <c r="S30" s="56">
        <f t="shared" si="8"/>
        <v>1.7458785998037379E-2</v>
      </c>
      <c r="T30" s="56">
        <f t="shared" si="9"/>
        <v>0.10271272895896127</v>
      </c>
      <c r="U30" s="56">
        <f t="shared" si="10"/>
        <v>0.10319899462801696</v>
      </c>
      <c r="V30" s="56">
        <f t="shared" si="11"/>
        <v>7.1925754060324823E-2</v>
      </c>
      <c r="W30" s="56">
        <f t="shared" si="12"/>
        <v>0.13398596952665343</v>
      </c>
      <c r="X30" s="102"/>
      <c r="Y30" s="102"/>
      <c r="Z30" s="65">
        <v>0.54320987654320985</v>
      </c>
      <c r="AA30" s="143">
        <v>0.5940464093967891</v>
      </c>
    </row>
    <row r="31" spans="1:27" s="55" customFormat="1" ht="16" x14ac:dyDescent="0.2">
      <c r="A31" s="73">
        <v>49</v>
      </c>
      <c r="B31" s="45" t="s">
        <v>13</v>
      </c>
      <c r="C31" s="103"/>
      <c r="D31" s="103"/>
      <c r="E31" s="52"/>
      <c r="G31" s="52"/>
      <c r="I31" s="52"/>
      <c r="L31" s="54"/>
      <c r="N31" s="54"/>
      <c r="P31" s="52"/>
      <c r="Q31" s="52"/>
      <c r="R31" s="52"/>
      <c r="S31" s="52"/>
      <c r="T31" s="52"/>
      <c r="U31" s="52"/>
      <c r="V31" s="52"/>
      <c r="W31" s="52"/>
      <c r="X31" s="84"/>
      <c r="Y31" s="84"/>
      <c r="Z31" s="80"/>
      <c r="AA31" s="141"/>
    </row>
    <row r="32" spans="1:27" s="55" customFormat="1" ht="16" x14ac:dyDescent="0.2">
      <c r="A32" s="73">
        <v>50</v>
      </c>
      <c r="B32" s="45" t="s">
        <v>56</v>
      </c>
      <c r="C32" s="83">
        <v>16</v>
      </c>
      <c r="D32" s="75">
        <v>12</v>
      </c>
      <c r="E32" s="52">
        <f t="shared" si="0"/>
        <v>-0.25</v>
      </c>
      <c r="F32" s="88">
        <v>17</v>
      </c>
      <c r="G32" s="52">
        <f t="shared" si="1"/>
        <v>-0.29411764705882354</v>
      </c>
      <c r="H32" s="90">
        <v>21</v>
      </c>
      <c r="I32" s="52">
        <f t="shared" si="2"/>
        <v>-0.42857142857142855</v>
      </c>
      <c r="J32" s="75">
        <v>544</v>
      </c>
      <c r="K32" s="88">
        <v>543</v>
      </c>
      <c r="L32" s="54">
        <f t="shared" si="3"/>
        <v>1.841620626151013E-3</v>
      </c>
      <c r="M32" s="83">
        <v>624</v>
      </c>
      <c r="N32" s="54">
        <f t="shared" si="4"/>
        <v>-0.12820512820512819</v>
      </c>
      <c r="O32" s="89">
        <v>763</v>
      </c>
      <c r="P32" s="52">
        <f t="shared" si="5"/>
        <v>-0.28702490170380079</v>
      </c>
      <c r="Q32" s="52">
        <f t="shared" si="6"/>
        <v>2.2058823529411766E-2</v>
      </c>
      <c r="R32" s="52">
        <f t="shared" si="7"/>
        <v>2.9465930018416207E-2</v>
      </c>
      <c r="S32" s="52">
        <f t="shared" si="8"/>
        <v>-7.4071064890044412E-3</v>
      </c>
      <c r="T32" s="52">
        <f t="shared" si="9"/>
        <v>2.7243589743589744E-2</v>
      </c>
      <c r="U32" s="52">
        <f t="shared" si="10"/>
        <v>-5.1847662141779778E-3</v>
      </c>
      <c r="V32" s="52">
        <f t="shared" si="11"/>
        <v>2.7522935779816515E-2</v>
      </c>
      <c r="W32" s="52">
        <f t="shared" si="12"/>
        <v>-5.4641122504047492E-3</v>
      </c>
      <c r="X32" s="100"/>
      <c r="Y32" s="54"/>
      <c r="Z32" s="92"/>
      <c r="AA32" s="142"/>
    </row>
    <row r="33" spans="1:27" s="55" customFormat="1" ht="16" x14ac:dyDescent="0.2">
      <c r="A33" s="73">
        <v>51</v>
      </c>
      <c r="B33" s="45" t="s">
        <v>5</v>
      </c>
      <c r="C33" s="99"/>
      <c r="D33" s="99"/>
      <c r="E33" s="52"/>
      <c r="G33" s="52"/>
      <c r="I33" s="52"/>
      <c r="L33" s="54"/>
      <c r="N33" s="54"/>
      <c r="P33" s="52"/>
      <c r="Q33" s="52"/>
      <c r="R33" s="52"/>
      <c r="S33" s="52"/>
      <c r="T33" s="52"/>
      <c r="U33" s="52"/>
      <c r="V33" s="52"/>
      <c r="W33" s="52"/>
      <c r="X33" s="84"/>
      <c r="Y33" s="84"/>
      <c r="Z33" s="80"/>
      <c r="AA33" s="141"/>
    </row>
    <row r="34" spans="1:27" s="55" customFormat="1" ht="17" x14ac:dyDescent="0.2">
      <c r="A34" s="73">
        <v>52</v>
      </c>
      <c r="B34" s="45" t="s">
        <v>57</v>
      </c>
      <c r="C34" s="83">
        <v>211</v>
      </c>
      <c r="D34" s="75">
        <v>222</v>
      </c>
      <c r="E34" s="52">
        <f t="shared" si="0"/>
        <v>5.2132701421800945E-2</v>
      </c>
      <c r="F34" s="88">
        <v>161</v>
      </c>
      <c r="G34" s="52">
        <f t="shared" si="1"/>
        <v>0.37888198757763975</v>
      </c>
      <c r="H34" s="90">
        <v>158</v>
      </c>
      <c r="I34" s="52">
        <f t="shared" si="2"/>
        <v>0.4050632911392405</v>
      </c>
      <c r="J34" s="75">
        <v>1983</v>
      </c>
      <c r="K34" s="88">
        <v>1993</v>
      </c>
      <c r="L34" s="54">
        <f t="shared" si="3"/>
        <v>-5.0175614651279477E-3</v>
      </c>
      <c r="M34" s="83">
        <v>2153</v>
      </c>
      <c r="N34" s="54">
        <f t="shared" si="4"/>
        <v>-7.8959591267998147E-2</v>
      </c>
      <c r="O34" s="89">
        <v>2625</v>
      </c>
      <c r="P34" s="52">
        <f t="shared" si="5"/>
        <v>-0.24457142857142858</v>
      </c>
      <c r="Q34" s="52">
        <f t="shared" si="6"/>
        <v>0.11195158850226929</v>
      </c>
      <c r="R34" s="52">
        <f t="shared" si="7"/>
        <v>0.1058705469141997</v>
      </c>
      <c r="S34" s="52">
        <f t="shared" si="8"/>
        <v>6.0810415880695884E-3</v>
      </c>
      <c r="T34" s="52">
        <f t="shared" si="9"/>
        <v>7.4779377612633535E-2</v>
      </c>
      <c r="U34" s="52">
        <f t="shared" si="10"/>
        <v>3.7172210889635751E-2</v>
      </c>
      <c r="V34" s="52">
        <f t="shared" si="11"/>
        <v>6.019047619047619E-2</v>
      </c>
      <c r="W34" s="52">
        <f t="shared" si="12"/>
        <v>5.1761112311793096E-2</v>
      </c>
      <c r="X34" s="84">
        <v>0.20833333333333334</v>
      </c>
      <c r="Y34" s="84">
        <v>0.27423395445134574</v>
      </c>
      <c r="Z34" s="79" t="s">
        <v>85</v>
      </c>
      <c r="AA34" s="142" t="s">
        <v>85</v>
      </c>
    </row>
    <row r="35" spans="1:27" s="55" customFormat="1" ht="17" x14ac:dyDescent="0.2">
      <c r="A35" s="73">
        <v>53</v>
      </c>
      <c r="B35" s="45" t="s">
        <v>6</v>
      </c>
      <c r="C35" s="83">
        <v>25</v>
      </c>
      <c r="D35" s="75">
        <v>18</v>
      </c>
      <c r="E35" s="52">
        <f t="shared" si="0"/>
        <v>-0.28000000000000003</v>
      </c>
      <c r="F35" s="104" t="s">
        <v>110</v>
      </c>
      <c r="G35" s="52"/>
      <c r="H35" s="104" t="s">
        <v>110</v>
      </c>
      <c r="I35" s="52"/>
      <c r="J35" s="75">
        <v>2417</v>
      </c>
      <c r="K35" s="88">
        <v>2339</v>
      </c>
      <c r="L35" s="54">
        <f t="shared" si="3"/>
        <v>3.3347584437793926E-2</v>
      </c>
      <c r="M35" s="105">
        <v>2443</v>
      </c>
      <c r="N35" s="54">
        <f t="shared" si="4"/>
        <v>-1.0642652476463364E-2</v>
      </c>
      <c r="O35" s="105">
        <v>2883</v>
      </c>
      <c r="P35" s="52">
        <f t="shared" si="5"/>
        <v>-0.16163718348942074</v>
      </c>
      <c r="Q35" s="52">
        <f t="shared" si="6"/>
        <v>7.4472486553578817E-3</v>
      </c>
      <c r="R35" s="52">
        <f t="shared" si="7"/>
        <v>1.0688328345446772E-2</v>
      </c>
      <c r="S35" s="52">
        <f t="shared" si="8"/>
        <v>-3.2410796900888906E-3</v>
      </c>
      <c r="T35" s="52"/>
      <c r="U35" s="52"/>
      <c r="V35" s="52"/>
      <c r="W35" s="52"/>
      <c r="X35" s="84"/>
      <c r="Y35" s="84"/>
      <c r="Z35" s="80"/>
      <c r="AA35" s="141"/>
    </row>
    <row r="36" spans="1:27" s="55" customFormat="1" ht="16" x14ac:dyDescent="0.2">
      <c r="A36" s="73">
        <v>54</v>
      </c>
      <c r="B36" s="45" t="s">
        <v>58</v>
      </c>
      <c r="C36" s="83">
        <v>194</v>
      </c>
      <c r="D36" s="75">
        <v>186</v>
      </c>
      <c r="E36" s="52">
        <f t="shared" si="0"/>
        <v>-4.1237113402061855E-2</v>
      </c>
      <c r="F36" s="88">
        <v>174</v>
      </c>
      <c r="G36" s="52">
        <f t="shared" si="1"/>
        <v>6.8965517241379309E-2</v>
      </c>
      <c r="H36" s="90">
        <v>133</v>
      </c>
      <c r="I36" s="52">
        <f t="shared" si="2"/>
        <v>0.39849624060150374</v>
      </c>
      <c r="J36" s="75">
        <v>1983</v>
      </c>
      <c r="K36" s="88">
        <v>2011</v>
      </c>
      <c r="L36" s="54">
        <f t="shared" si="3"/>
        <v>-1.3923421183490801E-2</v>
      </c>
      <c r="M36" s="83">
        <v>2204</v>
      </c>
      <c r="N36" s="54">
        <f t="shared" si="4"/>
        <v>-0.10027223230490018</v>
      </c>
      <c r="O36" s="89">
        <v>2553</v>
      </c>
      <c r="P36" s="52">
        <f t="shared" si="5"/>
        <v>-0.22326674500587543</v>
      </c>
      <c r="Q36" s="52">
        <f t="shared" si="6"/>
        <v>9.3797276853252648E-2</v>
      </c>
      <c r="R36" s="52">
        <f t="shared" si="7"/>
        <v>9.6469418199900542E-2</v>
      </c>
      <c r="S36" s="52">
        <f t="shared" si="8"/>
        <v>-2.6721413466478938E-3</v>
      </c>
      <c r="T36" s="52">
        <f t="shared" si="9"/>
        <v>7.8947368421052627E-2</v>
      </c>
      <c r="U36" s="52">
        <f t="shared" si="10"/>
        <v>1.4849908432200021E-2</v>
      </c>
      <c r="V36" s="52">
        <f t="shared" si="11"/>
        <v>5.209557383470427E-2</v>
      </c>
      <c r="W36" s="52">
        <f t="shared" si="12"/>
        <v>4.1701703018548378E-2</v>
      </c>
      <c r="X36" s="84">
        <v>0.21428571428571427</v>
      </c>
      <c r="Y36" s="84">
        <v>8.0615680615680613E-2</v>
      </c>
      <c r="Z36" s="92"/>
      <c r="AA36" s="142"/>
    </row>
    <row r="37" spans="1:27" s="55" customFormat="1" ht="16" x14ac:dyDescent="0.2">
      <c r="A37" s="73">
        <v>57</v>
      </c>
      <c r="B37" s="45" t="s">
        <v>59</v>
      </c>
      <c r="C37" s="83">
        <v>1069</v>
      </c>
      <c r="D37" s="75">
        <v>1128</v>
      </c>
      <c r="E37" s="52">
        <f t="shared" si="0"/>
        <v>5.5191768007483627E-2</v>
      </c>
      <c r="F37" s="88">
        <v>841</v>
      </c>
      <c r="G37" s="52">
        <f t="shared" si="1"/>
        <v>0.34126040428061832</v>
      </c>
      <c r="H37" s="90">
        <v>681</v>
      </c>
      <c r="I37" s="52">
        <f t="shared" si="2"/>
        <v>0.65638766519823788</v>
      </c>
      <c r="J37" s="75">
        <v>13240</v>
      </c>
      <c r="K37" s="88">
        <v>13065</v>
      </c>
      <c r="L37" s="54">
        <f t="shared" si="3"/>
        <v>1.3394565633371604E-2</v>
      </c>
      <c r="M37" s="83">
        <v>13520</v>
      </c>
      <c r="N37" s="54">
        <f t="shared" si="4"/>
        <v>-2.0710059171597635E-2</v>
      </c>
      <c r="O37" s="89">
        <v>15487</v>
      </c>
      <c r="P37" s="52">
        <f t="shared" si="5"/>
        <v>-0.14508942984438561</v>
      </c>
      <c r="Q37" s="52">
        <f t="shared" si="6"/>
        <v>8.5196374622356491E-2</v>
      </c>
      <c r="R37" s="52">
        <f t="shared" si="7"/>
        <v>8.1821660926138531E-2</v>
      </c>
      <c r="S37" s="52">
        <f t="shared" si="8"/>
        <v>3.3747136962179597E-3</v>
      </c>
      <c r="T37" s="52">
        <f t="shared" si="9"/>
        <v>6.2204142011834322E-2</v>
      </c>
      <c r="U37" s="52">
        <f t="shared" si="10"/>
        <v>2.2992232610522169E-2</v>
      </c>
      <c r="V37" s="52">
        <f t="shared" si="11"/>
        <v>4.3972363918124882E-2</v>
      </c>
      <c r="W37" s="52">
        <f t="shared" si="12"/>
        <v>4.1224010704231609E-2</v>
      </c>
      <c r="X37" s="84">
        <v>0.15</v>
      </c>
      <c r="Y37" s="84">
        <v>0.22738359804987224</v>
      </c>
      <c r="Z37" s="80">
        <v>0.203125</v>
      </c>
      <c r="AA37" s="140">
        <v>0.25420476998064401</v>
      </c>
    </row>
    <row r="38" spans="1:27" s="55" customFormat="1" ht="16" x14ac:dyDescent="0.2">
      <c r="A38" s="73">
        <v>58</v>
      </c>
      <c r="B38" s="45" t="s">
        <v>60</v>
      </c>
      <c r="C38" s="83">
        <v>203</v>
      </c>
      <c r="D38" s="75">
        <v>203</v>
      </c>
      <c r="E38" s="52">
        <f t="shared" si="0"/>
        <v>0</v>
      </c>
      <c r="F38" s="88">
        <v>167</v>
      </c>
      <c r="G38" s="52">
        <f t="shared" si="1"/>
        <v>0.21556886227544911</v>
      </c>
      <c r="H38" s="90">
        <v>166</v>
      </c>
      <c r="I38" s="52">
        <f t="shared" si="2"/>
        <v>0.22289156626506024</v>
      </c>
      <c r="J38" s="75">
        <v>2277</v>
      </c>
      <c r="K38" s="88">
        <v>2354</v>
      </c>
      <c r="L38" s="54">
        <f t="shared" si="3"/>
        <v>-3.2710280373831772E-2</v>
      </c>
      <c r="M38" s="83">
        <v>2505</v>
      </c>
      <c r="N38" s="54">
        <f t="shared" si="4"/>
        <v>-9.1017964071856292E-2</v>
      </c>
      <c r="O38" s="89">
        <v>2898</v>
      </c>
      <c r="P38" s="52">
        <f t="shared" si="5"/>
        <v>-0.21428571428571427</v>
      </c>
      <c r="Q38" s="52">
        <f t="shared" si="6"/>
        <v>8.9152393500219584E-2</v>
      </c>
      <c r="R38" s="52">
        <f t="shared" si="7"/>
        <v>8.6236193712829229E-2</v>
      </c>
      <c r="S38" s="52">
        <f t="shared" si="8"/>
        <v>2.9161997873903556E-3</v>
      </c>
      <c r="T38" s="52">
        <f t="shared" si="9"/>
        <v>6.6666666666666666E-2</v>
      </c>
      <c r="U38" s="52">
        <f t="shared" si="10"/>
        <v>2.2485726833552919E-2</v>
      </c>
      <c r="V38" s="52">
        <f t="shared" si="11"/>
        <v>5.7280883367839888E-2</v>
      </c>
      <c r="W38" s="52">
        <f t="shared" si="12"/>
        <v>3.1871510132379696E-2</v>
      </c>
      <c r="X38" s="84">
        <v>0.25</v>
      </c>
      <c r="Y38" s="84">
        <v>0.21746031746031744</v>
      </c>
      <c r="Z38" s="80">
        <v>0.92307692307692313</v>
      </c>
      <c r="AA38" s="142" t="s">
        <v>110</v>
      </c>
    </row>
    <row r="39" spans="1:27" s="55" customFormat="1" ht="16.5" customHeight="1" x14ac:dyDescent="0.2">
      <c r="A39" s="73">
        <v>59</v>
      </c>
      <c r="B39" s="45" t="s">
        <v>61</v>
      </c>
      <c r="C39" s="83">
        <v>369</v>
      </c>
      <c r="D39" s="75">
        <v>316</v>
      </c>
      <c r="E39" s="52">
        <f t="shared" si="0"/>
        <v>-0.14363143631436315</v>
      </c>
      <c r="F39" s="88">
        <v>384</v>
      </c>
      <c r="G39" s="52">
        <f t="shared" si="1"/>
        <v>-0.17708333333333334</v>
      </c>
      <c r="H39" s="90">
        <v>416</v>
      </c>
      <c r="I39" s="52">
        <f t="shared" si="2"/>
        <v>-0.24038461538461539</v>
      </c>
      <c r="J39" s="75">
        <v>3488</v>
      </c>
      <c r="K39" s="88">
        <v>3442</v>
      </c>
      <c r="L39" s="54">
        <f t="shared" si="3"/>
        <v>1.3364323067983731E-2</v>
      </c>
      <c r="M39" s="83">
        <v>3734</v>
      </c>
      <c r="N39" s="54">
        <f t="shared" si="4"/>
        <v>-6.5881092662024632E-2</v>
      </c>
      <c r="O39" s="89">
        <v>4500</v>
      </c>
      <c r="P39" s="52">
        <f t="shared" si="5"/>
        <v>-0.22488888888888889</v>
      </c>
      <c r="Q39" s="52">
        <f t="shared" si="6"/>
        <v>9.0596330275229356E-2</v>
      </c>
      <c r="R39" s="52">
        <f t="shared" si="7"/>
        <v>0.10720511330621732</v>
      </c>
      <c r="S39" s="52">
        <f t="shared" si="8"/>
        <v>-1.6608783030987964E-2</v>
      </c>
      <c r="T39" s="52">
        <f t="shared" si="9"/>
        <v>0.10283877878950187</v>
      </c>
      <c r="U39" s="52">
        <f t="shared" si="10"/>
        <v>-1.2242448514272516E-2</v>
      </c>
      <c r="V39" s="52">
        <f t="shared" si="11"/>
        <v>9.244444444444444E-2</v>
      </c>
      <c r="W39" s="52">
        <f t="shared" si="12"/>
        <v>-1.8481141692150843E-3</v>
      </c>
      <c r="X39" s="84">
        <v>0.53448275862068961</v>
      </c>
      <c r="Y39" s="84">
        <v>0.39163147895906514</v>
      </c>
      <c r="Z39" s="80">
        <v>0.36666666666666664</v>
      </c>
      <c r="AA39" s="140">
        <v>0.49092685863519198</v>
      </c>
    </row>
    <row r="40" spans="1:27" s="55" customFormat="1" ht="16" x14ac:dyDescent="0.2">
      <c r="A40" s="73">
        <v>60</v>
      </c>
      <c r="B40" s="45" t="s">
        <v>62</v>
      </c>
      <c r="C40" s="83">
        <v>383</v>
      </c>
      <c r="D40" s="75">
        <v>389</v>
      </c>
      <c r="E40" s="52">
        <f t="shared" si="0"/>
        <v>1.5665796344647518E-2</v>
      </c>
      <c r="F40" s="88">
        <v>328</v>
      </c>
      <c r="G40" s="52">
        <f t="shared" si="1"/>
        <v>0.18597560975609756</v>
      </c>
      <c r="H40" s="90">
        <v>351</v>
      </c>
      <c r="I40" s="52">
        <f t="shared" si="2"/>
        <v>0.10826210826210826</v>
      </c>
      <c r="J40" s="75">
        <v>6359</v>
      </c>
      <c r="K40" s="88">
        <v>6180</v>
      </c>
      <c r="L40" s="54">
        <f t="shared" si="3"/>
        <v>2.8964401294498381E-2</v>
      </c>
      <c r="M40" s="83">
        <v>5861</v>
      </c>
      <c r="N40" s="54">
        <f t="shared" si="4"/>
        <v>8.4968435420576693E-2</v>
      </c>
      <c r="O40" s="89">
        <v>5940</v>
      </c>
      <c r="P40" s="52">
        <f t="shared" si="5"/>
        <v>7.053872053872054E-2</v>
      </c>
      <c r="Q40" s="52">
        <f t="shared" si="6"/>
        <v>6.1173140430885356E-2</v>
      </c>
      <c r="R40" s="52">
        <f t="shared" si="7"/>
        <v>6.1974110032362459E-2</v>
      </c>
      <c r="S40" s="52">
        <f t="shared" si="8"/>
        <v>-8.0096960147710283E-4</v>
      </c>
      <c r="T40" s="52">
        <f t="shared" si="9"/>
        <v>5.596314622078144E-2</v>
      </c>
      <c r="U40" s="52">
        <f t="shared" si="10"/>
        <v>5.2099942101039159E-3</v>
      </c>
      <c r="V40" s="52">
        <f t="shared" si="11"/>
        <v>5.909090909090909E-2</v>
      </c>
      <c r="W40" s="52">
        <f t="shared" si="12"/>
        <v>2.0822313399762662E-3</v>
      </c>
      <c r="X40" s="84">
        <v>0.26470588235294118</v>
      </c>
      <c r="Y40" s="84">
        <v>0.25494493498597459</v>
      </c>
      <c r="Z40" s="80">
        <v>0.42857142857142855</v>
      </c>
      <c r="AA40" s="140">
        <v>0.58877712909970981</v>
      </c>
    </row>
    <row r="41" spans="1:27" s="55" customFormat="1" ht="16" x14ac:dyDescent="0.2">
      <c r="A41" s="73">
        <v>61</v>
      </c>
      <c r="B41" s="45" t="s">
        <v>63</v>
      </c>
      <c r="C41" s="93">
        <v>3807</v>
      </c>
      <c r="D41" s="75">
        <v>3867</v>
      </c>
      <c r="E41" s="52">
        <f t="shared" si="0"/>
        <v>1.5760441292356184E-2</v>
      </c>
      <c r="F41" s="88">
        <v>3478</v>
      </c>
      <c r="G41" s="52">
        <f t="shared" si="1"/>
        <v>0.11184588844163312</v>
      </c>
      <c r="H41" s="90">
        <v>2741</v>
      </c>
      <c r="I41" s="52">
        <f t="shared" si="2"/>
        <v>0.41079897847500912</v>
      </c>
      <c r="J41" s="75">
        <v>20221</v>
      </c>
      <c r="K41" s="88">
        <v>20002</v>
      </c>
      <c r="L41" s="54">
        <f t="shared" si="3"/>
        <v>1.0948905109489052E-2</v>
      </c>
      <c r="M41" s="83">
        <v>19864</v>
      </c>
      <c r="N41" s="54">
        <f t="shared" si="4"/>
        <v>1.7972211035038259E-2</v>
      </c>
      <c r="O41" s="89">
        <v>20631</v>
      </c>
      <c r="P41" s="52">
        <f t="shared" si="5"/>
        <v>-1.9873006640492463E-2</v>
      </c>
      <c r="Q41" s="52">
        <f t="shared" si="6"/>
        <v>0.19123683299540081</v>
      </c>
      <c r="R41" s="52">
        <f t="shared" si="7"/>
        <v>0.19033096690330967</v>
      </c>
      <c r="S41" s="52">
        <f t="shared" si="8"/>
        <v>9.0586609209114544E-4</v>
      </c>
      <c r="T41" s="52">
        <f t="shared" si="9"/>
        <v>0.17509061619009264</v>
      </c>
      <c r="U41" s="52">
        <f t="shared" si="10"/>
        <v>1.6146216805308172E-2</v>
      </c>
      <c r="V41" s="52">
        <f t="shared" si="11"/>
        <v>0.13285832000387765</v>
      </c>
      <c r="W41" s="52">
        <f t="shared" si="12"/>
        <v>5.8378512991523163E-2</v>
      </c>
      <c r="X41" s="84">
        <v>0.21608040201005024</v>
      </c>
      <c r="Y41" s="54">
        <v>0.23242541164698202</v>
      </c>
      <c r="Z41" s="80">
        <v>0.34931506849315069</v>
      </c>
      <c r="AA41" s="140">
        <v>0.39744418866058578</v>
      </c>
    </row>
    <row r="42" spans="1:27" s="55" customFormat="1" ht="16" x14ac:dyDescent="0.2">
      <c r="A42" s="73">
        <v>62</v>
      </c>
      <c r="B42" s="45" t="s">
        <v>64</v>
      </c>
      <c r="C42" s="83">
        <v>1278</v>
      </c>
      <c r="D42" s="75">
        <v>1385</v>
      </c>
      <c r="E42" s="52">
        <f t="shared" si="0"/>
        <v>8.3724569640062599E-2</v>
      </c>
      <c r="F42" s="88">
        <v>993</v>
      </c>
      <c r="G42" s="52">
        <f t="shared" si="1"/>
        <v>0.39476334340382679</v>
      </c>
      <c r="H42" s="90">
        <v>602</v>
      </c>
      <c r="I42" s="52">
        <f t="shared" si="2"/>
        <v>1.3006644518272426</v>
      </c>
      <c r="J42" s="75">
        <v>11074</v>
      </c>
      <c r="K42" s="88">
        <v>10934</v>
      </c>
      <c r="L42" s="54">
        <f t="shared" si="3"/>
        <v>1.2804097311139564E-2</v>
      </c>
      <c r="M42" s="83">
        <v>9963</v>
      </c>
      <c r="N42" s="54">
        <f t="shared" si="4"/>
        <v>0.11151259660744756</v>
      </c>
      <c r="O42" s="89">
        <v>8850</v>
      </c>
      <c r="P42" s="52">
        <f t="shared" si="5"/>
        <v>0.25129943502824859</v>
      </c>
      <c r="Q42" s="52">
        <f t="shared" si="6"/>
        <v>0.12506772620552645</v>
      </c>
      <c r="R42" s="52">
        <f t="shared" si="7"/>
        <v>0.11688311688311688</v>
      </c>
      <c r="S42" s="52">
        <f t="shared" si="8"/>
        <v>8.1846093224095667E-3</v>
      </c>
      <c r="T42" s="52">
        <f t="shared" si="9"/>
        <v>9.9668774465522428E-2</v>
      </c>
      <c r="U42" s="52">
        <f t="shared" si="10"/>
        <v>2.5398951740004019E-2</v>
      </c>
      <c r="V42" s="52">
        <f t="shared" si="11"/>
        <v>6.8022598870056503E-2</v>
      </c>
      <c r="W42" s="52">
        <f t="shared" si="12"/>
        <v>5.7045127335469945E-2</v>
      </c>
      <c r="X42" s="84">
        <v>0.14285714285714285</v>
      </c>
      <c r="Y42" s="84">
        <v>0.19517046686086159</v>
      </c>
      <c r="Z42" s="80">
        <v>0.22368421052631579</v>
      </c>
      <c r="AA42" s="140">
        <v>0.27669509251068847</v>
      </c>
    </row>
    <row r="43" spans="1:27" s="55" customFormat="1" ht="16" x14ac:dyDescent="0.2">
      <c r="A43" s="73">
        <v>63</v>
      </c>
      <c r="B43" s="45" t="s">
        <v>65</v>
      </c>
      <c r="C43" s="83">
        <v>896</v>
      </c>
      <c r="D43" s="75">
        <v>912</v>
      </c>
      <c r="E43" s="52">
        <f t="shared" si="0"/>
        <v>1.7857142857142856E-2</v>
      </c>
      <c r="F43" s="88">
        <v>905</v>
      </c>
      <c r="G43" s="52">
        <f t="shared" si="1"/>
        <v>7.7348066298342545E-3</v>
      </c>
      <c r="H43" s="90">
        <v>830</v>
      </c>
      <c r="I43" s="52">
        <f t="shared" si="2"/>
        <v>9.8795180722891562E-2</v>
      </c>
      <c r="J43" s="75">
        <v>8441</v>
      </c>
      <c r="K43" s="88">
        <v>8155</v>
      </c>
      <c r="L43" s="54">
        <f t="shared" si="3"/>
        <v>3.507050889025138E-2</v>
      </c>
      <c r="M43" s="83">
        <v>10228</v>
      </c>
      <c r="N43" s="54">
        <f t="shared" si="4"/>
        <v>-0.17471646460696127</v>
      </c>
      <c r="O43" s="89">
        <v>8668</v>
      </c>
      <c r="P43" s="52">
        <f t="shared" si="5"/>
        <v>-2.6188278726349792E-2</v>
      </c>
      <c r="Q43" s="52">
        <f t="shared" si="6"/>
        <v>0.1080440706077479</v>
      </c>
      <c r="R43" s="52">
        <f t="shared" si="7"/>
        <v>0.10987124463519313</v>
      </c>
      <c r="S43" s="52">
        <f t="shared" si="8"/>
        <v>-1.8271740274452275E-3</v>
      </c>
      <c r="T43" s="52">
        <f t="shared" si="9"/>
        <v>8.848259679311693E-2</v>
      </c>
      <c r="U43" s="52">
        <f t="shared" si="10"/>
        <v>1.956147381463097E-2</v>
      </c>
      <c r="V43" s="52">
        <f t="shared" si="11"/>
        <v>9.5754499307798793E-2</v>
      </c>
      <c r="W43" s="52">
        <f t="shared" si="12"/>
        <v>1.2289571299949106E-2</v>
      </c>
      <c r="X43" s="106">
        <v>0.17241379310344829</v>
      </c>
      <c r="Y43" s="107">
        <v>0.11179180630924397</v>
      </c>
      <c r="Z43" s="92"/>
      <c r="AA43" s="142"/>
    </row>
    <row r="44" spans="1:27" s="55" customFormat="1" ht="16" x14ac:dyDescent="0.2">
      <c r="A44" s="73">
        <v>64</v>
      </c>
      <c r="B44" s="45" t="s">
        <v>66</v>
      </c>
      <c r="C44" s="83">
        <v>143</v>
      </c>
      <c r="D44" s="75">
        <v>140</v>
      </c>
      <c r="E44" s="52">
        <f t="shared" si="0"/>
        <v>-2.097902097902098E-2</v>
      </c>
      <c r="F44" s="88">
        <v>185</v>
      </c>
      <c r="G44" s="52">
        <f t="shared" si="1"/>
        <v>-0.24324324324324326</v>
      </c>
      <c r="H44" s="90">
        <v>149</v>
      </c>
      <c r="I44" s="52">
        <f t="shared" si="2"/>
        <v>-6.0402684563758392E-2</v>
      </c>
      <c r="J44" s="75">
        <v>1768</v>
      </c>
      <c r="K44" s="88">
        <v>1784</v>
      </c>
      <c r="L44" s="54">
        <f t="shared" si="3"/>
        <v>-8.9686098654708519E-3</v>
      </c>
      <c r="M44" s="83">
        <v>1786</v>
      </c>
      <c r="N44" s="54">
        <f t="shared" si="4"/>
        <v>-1.0078387458006719E-2</v>
      </c>
      <c r="O44" s="89">
        <v>1638</v>
      </c>
      <c r="P44" s="52">
        <f t="shared" si="5"/>
        <v>7.9365079365079361E-2</v>
      </c>
      <c r="Q44" s="52">
        <f t="shared" si="6"/>
        <v>7.9185520361990946E-2</v>
      </c>
      <c r="R44" s="52">
        <f t="shared" si="7"/>
        <v>8.0156950672645735E-2</v>
      </c>
      <c r="S44" s="52">
        <f t="shared" si="8"/>
        <v>-9.7143031065478891E-4</v>
      </c>
      <c r="T44" s="52">
        <f t="shared" si="9"/>
        <v>0.10358342665173573</v>
      </c>
      <c r="U44" s="52">
        <f t="shared" si="10"/>
        <v>-2.4397906289744781E-2</v>
      </c>
      <c r="V44" s="52">
        <f t="shared" si="11"/>
        <v>9.0964590964590961E-2</v>
      </c>
      <c r="W44" s="52">
        <f t="shared" si="12"/>
        <v>-1.1779070602600014E-2</v>
      </c>
      <c r="X44" s="100"/>
      <c r="Y44" s="100"/>
      <c r="Z44" s="92"/>
      <c r="AA44" s="142"/>
    </row>
    <row r="45" spans="1:27" s="55" customFormat="1" ht="16" x14ac:dyDescent="0.2">
      <c r="A45" s="73">
        <v>67</v>
      </c>
      <c r="B45" s="45" t="s">
        <v>67</v>
      </c>
      <c r="C45" s="76">
        <v>680</v>
      </c>
      <c r="D45" s="75">
        <v>654</v>
      </c>
      <c r="E45" s="52">
        <f t="shared" si="0"/>
        <v>-3.8235294117647062E-2</v>
      </c>
      <c r="F45" s="88">
        <v>666</v>
      </c>
      <c r="G45" s="52">
        <f t="shared" si="1"/>
        <v>-1.8018018018018018E-2</v>
      </c>
      <c r="H45" s="90">
        <v>572</v>
      </c>
      <c r="I45" s="52">
        <f t="shared" si="2"/>
        <v>0.14335664335664336</v>
      </c>
      <c r="J45" s="75">
        <v>5807</v>
      </c>
      <c r="K45" s="88">
        <v>5808</v>
      </c>
      <c r="L45" s="54">
        <f t="shared" si="3"/>
        <v>-1.7217630853994491E-4</v>
      </c>
      <c r="M45" s="83">
        <v>6017</v>
      </c>
      <c r="N45" s="54">
        <f t="shared" si="4"/>
        <v>-3.4901113511716805E-2</v>
      </c>
      <c r="O45" s="89">
        <v>6979</v>
      </c>
      <c r="P45" s="52">
        <f t="shared" si="5"/>
        <v>-0.16793236853417395</v>
      </c>
      <c r="Q45" s="52">
        <f t="shared" si="6"/>
        <v>0.11262269674530739</v>
      </c>
      <c r="R45" s="52">
        <f t="shared" si="7"/>
        <v>0.11707988980716254</v>
      </c>
      <c r="S45" s="52">
        <f t="shared" si="8"/>
        <v>-4.4571930618551442E-3</v>
      </c>
      <c r="T45" s="52">
        <f t="shared" si="9"/>
        <v>0.11068638856573043</v>
      </c>
      <c r="U45" s="52">
        <f t="shared" si="10"/>
        <v>1.9363081795769621E-3</v>
      </c>
      <c r="V45" s="52">
        <f t="shared" si="11"/>
        <v>8.1960166212924485E-2</v>
      </c>
      <c r="W45" s="52">
        <f t="shared" si="12"/>
        <v>3.0662530532382909E-2</v>
      </c>
      <c r="X45" s="100"/>
      <c r="Y45" s="100"/>
      <c r="Z45" s="80">
        <v>0.4140625</v>
      </c>
      <c r="AA45" s="140">
        <v>0.42945311257173974</v>
      </c>
    </row>
    <row r="46" spans="1:27" s="55" customFormat="1" ht="16" x14ac:dyDescent="0.2">
      <c r="A46" s="73">
        <v>68</v>
      </c>
      <c r="B46" s="45" t="s">
        <v>68</v>
      </c>
      <c r="C46" s="83">
        <v>1578</v>
      </c>
      <c r="D46" s="75">
        <v>1574</v>
      </c>
      <c r="E46" s="52">
        <f t="shared" si="0"/>
        <v>-2.5348542458808617E-3</v>
      </c>
      <c r="F46" s="88">
        <v>1325</v>
      </c>
      <c r="G46" s="52">
        <f t="shared" si="1"/>
        <v>0.1879245283018868</v>
      </c>
      <c r="H46" s="90">
        <v>1115</v>
      </c>
      <c r="I46" s="52">
        <f t="shared" si="2"/>
        <v>0.4116591928251121</v>
      </c>
      <c r="J46" s="75">
        <v>14336</v>
      </c>
      <c r="K46" s="88">
        <v>13897</v>
      </c>
      <c r="L46" s="54">
        <f t="shared" si="3"/>
        <v>3.1589551701806148E-2</v>
      </c>
      <c r="M46" s="83">
        <v>13971</v>
      </c>
      <c r="N46" s="54">
        <f t="shared" si="4"/>
        <v>2.6125545773387732E-2</v>
      </c>
      <c r="O46" s="89">
        <v>14917</v>
      </c>
      <c r="P46" s="52">
        <f t="shared" si="5"/>
        <v>-3.894885030502112E-2</v>
      </c>
      <c r="Q46" s="52">
        <f t="shared" si="6"/>
        <v>0.10979352678571429</v>
      </c>
      <c r="R46" s="52">
        <f t="shared" si="7"/>
        <v>0.11354968698280204</v>
      </c>
      <c r="S46" s="52">
        <f t="shared" si="8"/>
        <v>-3.7561601970877573E-3</v>
      </c>
      <c r="T46" s="52">
        <f t="shared" si="9"/>
        <v>9.4839309999284235E-2</v>
      </c>
      <c r="U46" s="52">
        <f t="shared" si="10"/>
        <v>1.4954216786430052E-2</v>
      </c>
      <c r="V46" s="52">
        <f t="shared" si="11"/>
        <v>7.4746933029429516E-2</v>
      </c>
      <c r="W46" s="52">
        <f t="shared" si="12"/>
        <v>3.5046593756284772E-2</v>
      </c>
      <c r="X46" s="100">
        <v>8.0745341614906832E-2</v>
      </c>
      <c r="Y46" s="100">
        <v>0.16153938978097199</v>
      </c>
      <c r="Z46" s="80">
        <v>0.58139534883720934</v>
      </c>
      <c r="AA46" s="140">
        <v>0.44332440833693015</v>
      </c>
    </row>
    <row r="47" spans="1:27" s="58" customFormat="1" ht="16" x14ac:dyDescent="0.2">
      <c r="A47" s="81">
        <v>69</v>
      </c>
      <c r="B47" s="59" t="s">
        <v>69</v>
      </c>
      <c r="C47" s="62">
        <v>382</v>
      </c>
      <c r="D47" s="61">
        <v>419</v>
      </c>
      <c r="E47" s="56">
        <f t="shared" si="0"/>
        <v>9.6858638743455502E-2</v>
      </c>
      <c r="F47" s="68">
        <v>377</v>
      </c>
      <c r="G47" s="56">
        <f t="shared" si="1"/>
        <v>0.11140583554376658</v>
      </c>
      <c r="H47" s="70">
        <v>422</v>
      </c>
      <c r="I47" s="56">
        <f t="shared" si="2"/>
        <v>-7.1090047393364926E-3</v>
      </c>
      <c r="J47" s="61">
        <v>4296</v>
      </c>
      <c r="K47" s="68">
        <v>4285</v>
      </c>
      <c r="L47" s="57">
        <f t="shared" si="3"/>
        <v>2.5670945157526253E-3</v>
      </c>
      <c r="M47" s="63">
        <v>4245</v>
      </c>
      <c r="N47" s="57">
        <f t="shared" si="4"/>
        <v>1.2014134275618375E-2</v>
      </c>
      <c r="O47" s="69">
        <v>4891</v>
      </c>
      <c r="P47" s="56">
        <f t="shared" si="5"/>
        <v>-0.1216520139030873</v>
      </c>
      <c r="Q47" s="56">
        <f t="shared" si="6"/>
        <v>9.7532588454376165E-2</v>
      </c>
      <c r="R47" s="56">
        <f t="shared" si="7"/>
        <v>8.9148191365227544E-2</v>
      </c>
      <c r="S47" s="56">
        <f t="shared" si="8"/>
        <v>8.3843970891486208E-3</v>
      </c>
      <c r="T47" s="56">
        <f t="shared" si="9"/>
        <v>8.881036513545347E-2</v>
      </c>
      <c r="U47" s="56">
        <f t="shared" si="10"/>
        <v>8.722223318922695E-3</v>
      </c>
      <c r="V47" s="56">
        <f t="shared" si="11"/>
        <v>8.6280924146391325E-2</v>
      </c>
      <c r="W47" s="56">
        <f t="shared" si="12"/>
        <v>1.1251664307984841E-2</v>
      </c>
      <c r="X47" s="102">
        <v>0.14634146341463414</v>
      </c>
      <c r="Y47" s="102">
        <v>0.1258494892641234</v>
      </c>
      <c r="Z47" s="65">
        <v>0.5161290322580645</v>
      </c>
      <c r="AA47" s="143">
        <v>0.47575936708694039</v>
      </c>
    </row>
    <row r="48" spans="1:27" s="55" customFormat="1" ht="16" x14ac:dyDescent="0.2">
      <c r="A48" s="73">
        <v>70</v>
      </c>
      <c r="B48" s="45" t="s">
        <v>70</v>
      </c>
      <c r="C48" s="83">
        <v>347</v>
      </c>
      <c r="D48" s="75">
        <v>372</v>
      </c>
      <c r="E48" s="52">
        <f t="shared" si="0"/>
        <v>7.2046109510086456E-2</v>
      </c>
      <c r="F48" s="88">
        <v>408</v>
      </c>
      <c r="G48" s="52">
        <f t="shared" si="1"/>
        <v>-8.8235294117647065E-2</v>
      </c>
      <c r="H48" s="90">
        <v>315</v>
      </c>
      <c r="I48" s="52">
        <f t="shared" si="2"/>
        <v>0.18095238095238095</v>
      </c>
      <c r="J48" s="75">
        <v>3930</v>
      </c>
      <c r="K48" s="88">
        <v>3861</v>
      </c>
      <c r="L48" s="54">
        <f t="shared" si="3"/>
        <v>1.7871017871017872E-2</v>
      </c>
      <c r="M48" s="83">
        <v>3803</v>
      </c>
      <c r="N48" s="54">
        <f t="shared" si="4"/>
        <v>3.3394688403891662E-2</v>
      </c>
      <c r="O48" s="89">
        <v>4520</v>
      </c>
      <c r="P48" s="52">
        <f t="shared" si="5"/>
        <v>-0.13053097345132744</v>
      </c>
      <c r="Q48" s="52">
        <f t="shared" si="6"/>
        <v>9.465648854961832E-2</v>
      </c>
      <c r="R48" s="52">
        <f t="shared" si="7"/>
        <v>8.9873089873089868E-2</v>
      </c>
      <c r="S48" s="52">
        <f t="shared" si="8"/>
        <v>4.7833986765284525E-3</v>
      </c>
      <c r="T48" s="52">
        <f t="shared" si="9"/>
        <v>0.10728372337628188</v>
      </c>
      <c r="U48" s="52">
        <f t="shared" si="10"/>
        <v>-1.2627234826663558E-2</v>
      </c>
      <c r="V48" s="52">
        <f t="shared" si="11"/>
        <v>6.9690265486725661E-2</v>
      </c>
      <c r="W48" s="52">
        <f t="shared" si="12"/>
        <v>2.4966223062892659E-2</v>
      </c>
      <c r="X48" s="100">
        <v>0.22857142857142856</v>
      </c>
      <c r="Y48" s="100">
        <v>0.33505960022006237</v>
      </c>
      <c r="Z48" s="80">
        <v>0.56862745098039214</v>
      </c>
      <c r="AA48" s="140">
        <v>0.46812344856641835</v>
      </c>
    </row>
    <row r="49" spans="1:27" s="55" customFormat="1" ht="16" x14ac:dyDescent="0.2">
      <c r="A49" s="73">
        <v>71</v>
      </c>
      <c r="B49" s="45" t="s">
        <v>71</v>
      </c>
      <c r="C49" s="83">
        <v>1211</v>
      </c>
      <c r="D49" s="75">
        <v>1218</v>
      </c>
      <c r="E49" s="52">
        <f t="shared" si="0"/>
        <v>5.7803468208092483E-3</v>
      </c>
      <c r="F49" s="88">
        <v>1117</v>
      </c>
      <c r="G49" s="52">
        <f t="shared" si="1"/>
        <v>9.0420769919427033E-2</v>
      </c>
      <c r="H49" s="90">
        <v>797</v>
      </c>
      <c r="I49" s="52">
        <f t="shared" si="2"/>
        <v>0.52823086574654954</v>
      </c>
      <c r="J49" s="75">
        <v>8853</v>
      </c>
      <c r="K49" s="88">
        <v>8302</v>
      </c>
      <c r="L49" s="54">
        <f t="shared" si="3"/>
        <v>6.63695495061431E-2</v>
      </c>
      <c r="M49" s="83">
        <v>9877</v>
      </c>
      <c r="N49" s="54">
        <f t="shared" si="4"/>
        <v>-0.10367520502176775</v>
      </c>
      <c r="O49" s="89">
        <v>9350</v>
      </c>
      <c r="P49" s="52">
        <f t="shared" si="5"/>
        <v>-5.3155080213903742E-2</v>
      </c>
      <c r="Q49" s="52">
        <f t="shared" si="6"/>
        <v>0.13758048119281599</v>
      </c>
      <c r="R49" s="52">
        <f t="shared" si="7"/>
        <v>0.14586846543001686</v>
      </c>
      <c r="S49" s="52">
        <f t="shared" si="8"/>
        <v>-8.2879842372008683E-3</v>
      </c>
      <c r="T49" s="52">
        <f t="shared" si="9"/>
        <v>0.11309101954034625</v>
      </c>
      <c r="U49" s="52">
        <f t="shared" si="10"/>
        <v>2.4489461652469735E-2</v>
      </c>
      <c r="V49" s="52">
        <f t="shared" si="11"/>
        <v>8.5240641711229942E-2</v>
      </c>
      <c r="W49" s="52">
        <f t="shared" si="12"/>
        <v>5.2339839481586048E-2</v>
      </c>
      <c r="X49" s="100">
        <v>0.11320754716981132</v>
      </c>
      <c r="Y49" s="100">
        <v>0.16722368958888162</v>
      </c>
      <c r="Z49" s="80">
        <v>0.32407407407407407</v>
      </c>
      <c r="AA49" s="140">
        <v>0.18518502673342022</v>
      </c>
    </row>
    <row r="50" spans="1:27" s="55" customFormat="1" ht="16" x14ac:dyDescent="0.2">
      <c r="A50" s="73">
        <v>72</v>
      </c>
      <c r="B50" s="45" t="s">
        <v>72</v>
      </c>
      <c r="C50" s="83">
        <v>825</v>
      </c>
      <c r="D50" s="75">
        <v>864</v>
      </c>
      <c r="E50" s="52">
        <f t="shared" si="0"/>
        <v>4.7272727272727272E-2</v>
      </c>
      <c r="F50" s="88">
        <v>826</v>
      </c>
      <c r="G50" s="52">
        <f t="shared" si="1"/>
        <v>4.6004842615012108E-2</v>
      </c>
      <c r="H50" s="90">
        <v>757</v>
      </c>
      <c r="I50" s="52">
        <f t="shared" si="2"/>
        <v>0.14134742404227213</v>
      </c>
      <c r="J50" s="75">
        <v>5331</v>
      </c>
      <c r="K50" s="88">
        <v>5324</v>
      </c>
      <c r="L50" s="54">
        <f t="shared" si="3"/>
        <v>1.3148009015777611E-3</v>
      </c>
      <c r="M50" s="83">
        <v>5228</v>
      </c>
      <c r="N50" s="54">
        <f t="shared" si="4"/>
        <v>1.970160673297628E-2</v>
      </c>
      <c r="O50" s="89">
        <v>5942</v>
      </c>
      <c r="P50" s="52">
        <f t="shared" si="5"/>
        <v>-0.10282733086502861</v>
      </c>
      <c r="Q50" s="52">
        <f t="shared" si="6"/>
        <v>0.16207090602138435</v>
      </c>
      <c r="R50" s="52">
        <f t="shared" si="7"/>
        <v>0.15495867768595042</v>
      </c>
      <c r="S50" s="52">
        <f t="shared" si="8"/>
        <v>7.1122283354339288E-3</v>
      </c>
      <c r="T50" s="52">
        <f t="shared" si="9"/>
        <v>0.15799540933435349</v>
      </c>
      <c r="U50" s="52">
        <f t="shared" si="10"/>
        <v>4.0754966870308607E-3</v>
      </c>
      <c r="V50" s="52">
        <f t="shared" si="11"/>
        <v>0.12739818243015819</v>
      </c>
      <c r="W50" s="52">
        <f t="shared" si="12"/>
        <v>3.4672723591226168E-2</v>
      </c>
      <c r="X50" s="108">
        <v>0.24242424242424243</v>
      </c>
      <c r="Y50" s="108">
        <v>0.256998556998557</v>
      </c>
      <c r="Z50" s="80">
        <v>0.3411764705882353</v>
      </c>
      <c r="AA50" s="140">
        <v>0.3329693257339561</v>
      </c>
    </row>
    <row r="51" spans="1:27" s="55" customFormat="1" ht="16" x14ac:dyDescent="0.2">
      <c r="A51" s="73">
        <v>73</v>
      </c>
      <c r="B51" s="45" t="s">
        <v>73</v>
      </c>
      <c r="C51" s="83">
        <v>1212</v>
      </c>
      <c r="D51" s="75">
        <v>1220</v>
      </c>
      <c r="E51" s="52">
        <f t="shared" si="0"/>
        <v>6.6006600660066007E-3</v>
      </c>
      <c r="F51" s="88">
        <v>1093</v>
      </c>
      <c r="G51" s="52">
        <f t="shared" si="1"/>
        <v>0.1161939615736505</v>
      </c>
      <c r="H51" s="90">
        <v>929</v>
      </c>
      <c r="I51" s="52">
        <f t="shared" si="2"/>
        <v>0.31324004305705061</v>
      </c>
      <c r="J51" s="75">
        <v>14665</v>
      </c>
      <c r="K51" s="88">
        <v>14410</v>
      </c>
      <c r="L51" s="54">
        <f t="shared" si="3"/>
        <v>1.7696044413601664E-2</v>
      </c>
      <c r="M51" s="83">
        <v>14792</v>
      </c>
      <c r="N51" s="54">
        <f t="shared" si="4"/>
        <v>-8.5857220118983231E-3</v>
      </c>
      <c r="O51" s="89">
        <v>15218</v>
      </c>
      <c r="P51" s="52">
        <f t="shared" si="5"/>
        <v>-3.6338546458141677E-2</v>
      </c>
      <c r="Q51" s="52">
        <f t="shared" si="6"/>
        <v>8.3191271735424482E-2</v>
      </c>
      <c r="R51" s="52">
        <f t="shared" si="7"/>
        <v>8.4108258154059687E-2</v>
      </c>
      <c r="S51" s="52">
        <f t="shared" si="8"/>
        <v>-9.1698641863520447E-4</v>
      </c>
      <c r="T51" s="52">
        <f t="shared" si="9"/>
        <v>7.3891292590589505E-2</v>
      </c>
      <c r="U51" s="52">
        <f t="shared" si="10"/>
        <v>9.2999791448349772E-3</v>
      </c>
      <c r="V51" s="52">
        <f t="shared" si="11"/>
        <v>6.1046129583388092E-2</v>
      </c>
      <c r="W51" s="52">
        <f t="shared" si="12"/>
        <v>2.214514215203639E-2</v>
      </c>
      <c r="X51" s="84">
        <v>0.11538461538461539</v>
      </c>
      <c r="Y51" s="84">
        <v>0.10367743733592261</v>
      </c>
      <c r="Z51" s="80">
        <v>0.31958762886597936</v>
      </c>
      <c r="AA51" s="140">
        <v>0.19879297563500051</v>
      </c>
    </row>
    <row r="52" spans="1:27" s="55" customFormat="1" ht="16" x14ac:dyDescent="0.2">
      <c r="A52" s="73">
        <v>74</v>
      </c>
      <c r="B52" s="45" t="s">
        <v>15</v>
      </c>
      <c r="C52" s="103"/>
      <c r="D52" s="103"/>
      <c r="E52" s="52"/>
      <c r="F52" s="52"/>
      <c r="G52" s="52"/>
      <c r="H52" s="103"/>
      <c r="I52" s="52"/>
      <c r="J52" s="85"/>
      <c r="K52" s="52"/>
      <c r="L52" s="54"/>
      <c r="M52" s="109"/>
      <c r="N52" s="54"/>
      <c r="O52" s="109"/>
      <c r="P52" s="52"/>
      <c r="Q52" s="52"/>
      <c r="R52" s="52"/>
      <c r="S52" s="52"/>
      <c r="T52" s="52"/>
      <c r="U52" s="52"/>
      <c r="V52" s="52"/>
      <c r="W52" s="52"/>
      <c r="X52" s="84"/>
      <c r="Y52" s="84"/>
      <c r="Z52" s="80"/>
      <c r="AA52" s="141"/>
    </row>
    <row r="53" spans="1:27" s="55" customFormat="1" ht="16" x14ac:dyDescent="0.2">
      <c r="A53" s="73">
        <v>75</v>
      </c>
      <c r="B53" s="45" t="s">
        <v>74</v>
      </c>
      <c r="C53" s="83">
        <v>496</v>
      </c>
      <c r="D53" s="75">
        <v>496</v>
      </c>
      <c r="E53" s="52">
        <f t="shared" si="0"/>
        <v>0</v>
      </c>
      <c r="F53" s="88">
        <v>468</v>
      </c>
      <c r="G53" s="52">
        <f t="shared" si="1"/>
        <v>5.9829059829059832E-2</v>
      </c>
      <c r="H53" s="90">
        <v>456</v>
      </c>
      <c r="I53" s="52">
        <f t="shared" si="2"/>
        <v>8.771929824561403E-2</v>
      </c>
      <c r="J53" s="75">
        <v>6300</v>
      </c>
      <c r="K53" s="88">
        <v>6072</v>
      </c>
      <c r="L53" s="54">
        <f t="shared" si="3"/>
        <v>3.7549407114624504E-2</v>
      </c>
      <c r="M53" s="83">
        <v>6031</v>
      </c>
      <c r="N53" s="54">
        <f t="shared" si="4"/>
        <v>4.460288509368264E-2</v>
      </c>
      <c r="O53" s="89">
        <v>6774</v>
      </c>
      <c r="P53" s="52">
        <f t="shared" si="5"/>
        <v>-6.997342781222321E-2</v>
      </c>
      <c r="Q53" s="52">
        <f t="shared" si="6"/>
        <v>7.8730158730158734E-2</v>
      </c>
      <c r="R53" s="52">
        <f t="shared" si="7"/>
        <v>8.1686429512516465E-2</v>
      </c>
      <c r="S53" s="52">
        <f t="shared" si="8"/>
        <v>-2.9562707823577311E-3</v>
      </c>
      <c r="T53" s="52">
        <f t="shared" si="9"/>
        <v>7.7599071464102137E-2</v>
      </c>
      <c r="U53" s="52">
        <f t="shared" si="10"/>
        <v>1.1310872660565963E-3</v>
      </c>
      <c r="V53" s="52">
        <f t="shared" si="11"/>
        <v>6.7316209034543842E-2</v>
      </c>
      <c r="W53" s="52">
        <f t="shared" si="12"/>
        <v>1.1413949695614892E-2</v>
      </c>
      <c r="X53" s="84">
        <v>0.359375</v>
      </c>
      <c r="Y53" s="84">
        <v>0.37790638280483818</v>
      </c>
      <c r="Z53" s="80">
        <v>0.73333333333333328</v>
      </c>
      <c r="AA53" s="140">
        <v>0.59220785340774129</v>
      </c>
    </row>
    <row r="54" spans="1:27" s="55" customFormat="1" ht="16" x14ac:dyDescent="0.2">
      <c r="A54" s="73">
        <v>78</v>
      </c>
      <c r="B54" s="45" t="s">
        <v>9</v>
      </c>
      <c r="C54" s="110"/>
      <c r="D54" s="103"/>
      <c r="E54" s="52"/>
      <c r="F54" s="52"/>
      <c r="G54" s="52"/>
      <c r="H54" s="103"/>
      <c r="I54" s="52"/>
      <c r="J54" s="109"/>
      <c r="K54" s="52"/>
      <c r="L54" s="54"/>
      <c r="M54" s="109"/>
      <c r="N54" s="54"/>
      <c r="O54" s="109"/>
      <c r="P54" s="52"/>
      <c r="Q54" s="52"/>
      <c r="R54" s="52"/>
      <c r="S54" s="52"/>
      <c r="T54" s="52"/>
      <c r="U54" s="52"/>
      <c r="V54" s="52"/>
      <c r="W54" s="52"/>
      <c r="X54" s="84"/>
      <c r="Y54" s="84"/>
      <c r="Z54" s="80"/>
      <c r="AA54" s="141"/>
    </row>
    <row r="55" spans="1:27" s="55" customFormat="1" ht="16" x14ac:dyDescent="0.2">
      <c r="A55" s="73">
        <v>79</v>
      </c>
      <c r="B55" s="45" t="s">
        <v>75</v>
      </c>
      <c r="C55" s="83">
        <v>1050</v>
      </c>
      <c r="D55" s="75">
        <v>1032</v>
      </c>
      <c r="E55" s="52">
        <f t="shared" si="0"/>
        <v>-1.7142857142857144E-2</v>
      </c>
      <c r="F55" s="88">
        <v>883</v>
      </c>
      <c r="G55" s="52">
        <f t="shared" si="1"/>
        <v>0.16874292185730463</v>
      </c>
      <c r="H55" s="90">
        <v>626</v>
      </c>
      <c r="I55" s="52">
        <f t="shared" si="2"/>
        <v>0.6485623003194888</v>
      </c>
      <c r="J55" s="75">
        <v>8027</v>
      </c>
      <c r="K55" s="88">
        <v>7825</v>
      </c>
      <c r="L55" s="54">
        <f t="shared" si="3"/>
        <v>2.5814696485623002E-2</v>
      </c>
      <c r="M55" s="83">
        <v>7906</v>
      </c>
      <c r="N55" s="54">
        <f t="shared" si="4"/>
        <v>1.5304831773336707E-2</v>
      </c>
      <c r="O55" s="89">
        <v>9116</v>
      </c>
      <c r="P55" s="52">
        <f t="shared" si="5"/>
        <v>-0.11946028960070207</v>
      </c>
      <c r="Q55" s="52">
        <f t="shared" si="6"/>
        <v>0.12856608944811262</v>
      </c>
      <c r="R55" s="52">
        <f t="shared" si="7"/>
        <v>0.13418530351437699</v>
      </c>
      <c r="S55" s="52">
        <f t="shared" si="8"/>
        <v>-5.6192140662643664E-3</v>
      </c>
      <c r="T55" s="52">
        <f t="shared" si="9"/>
        <v>0.11168732608145712</v>
      </c>
      <c r="U55" s="52">
        <f t="shared" si="10"/>
        <v>1.6878763366655503E-2</v>
      </c>
      <c r="V55" s="52">
        <f t="shared" si="11"/>
        <v>6.8670469504168496E-2</v>
      </c>
      <c r="W55" s="52">
        <f t="shared" si="12"/>
        <v>5.9895619943944128E-2</v>
      </c>
      <c r="X55" s="84">
        <v>0.10526315789473684</v>
      </c>
      <c r="Y55" s="84">
        <v>0.16913861450496312</v>
      </c>
      <c r="Z55" s="80">
        <v>0.42622950819672129</v>
      </c>
      <c r="AA55" s="140">
        <v>0.42682980166157819</v>
      </c>
    </row>
    <row r="56" spans="1:27" s="55" customFormat="1" ht="16" x14ac:dyDescent="0.2">
      <c r="A56" s="73">
        <v>81</v>
      </c>
      <c r="B56" s="45" t="s">
        <v>7</v>
      </c>
      <c r="C56" s="103"/>
      <c r="D56" s="103"/>
      <c r="E56" s="52"/>
      <c r="F56" s="52"/>
      <c r="G56" s="52"/>
      <c r="H56" s="103"/>
      <c r="I56" s="52"/>
      <c r="J56" s="103"/>
      <c r="K56" s="52"/>
      <c r="L56" s="54"/>
      <c r="M56" s="103"/>
      <c r="N56" s="54"/>
      <c r="O56" s="103"/>
      <c r="P56" s="52"/>
      <c r="Q56" s="52"/>
      <c r="R56" s="52"/>
      <c r="S56" s="52"/>
      <c r="T56" s="52"/>
      <c r="U56" s="52"/>
      <c r="V56" s="52"/>
      <c r="W56" s="52"/>
      <c r="X56" s="84"/>
      <c r="Y56" s="84"/>
      <c r="Z56" s="80"/>
      <c r="AA56" s="141"/>
    </row>
    <row r="57" spans="1:27" s="55" customFormat="1" ht="16" x14ac:dyDescent="0.2">
      <c r="A57" s="73">
        <v>82</v>
      </c>
      <c r="B57" s="45" t="s">
        <v>76</v>
      </c>
      <c r="C57" s="83">
        <v>432</v>
      </c>
      <c r="D57" s="75">
        <v>461</v>
      </c>
      <c r="E57" s="52">
        <f t="shared" si="0"/>
        <v>6.7129629629629636E-2</v>
      </c>
      <c r="F57" s="88">
        <v>395</v>
      </c>
      <c r="G57" s="52">
        <f t="shared" si="1"/>
        <v>0.16708860759493671</v>
      </c>
      <c r="H57" s="90">
        <v>344</v>
      </c>
      <c r="I57" s="52">
        <f t="shared" si="2"/>
        <v>0.34011627906976744</v>
      </c>
      <c r="J57" s="75">
        <v>4241</v>
      </c>
      <c r="K57" s="88">
        <v>4228</v>
      </c>
      <c r="L57" s="54">
        <f t="shared" si="3"/>
        <v>3.0747398297067173E-3</v>
      </c>
      <c r="M57" s="83">
        <v>4953</v>
      </c>
      <c r="N57" s="54">
        <f t="shared" si="4"/>
        <v>-0.14375126186149809</v>
      </c>
      <c r="O57" s="89">
        <v>5640</v>
      </c>
      <c r="P57" s="52">
        <f t="shared" si="5"/>
        <v>-0.24804964539007093</v>
      </c>
      <c r="Q57" s="52">
        <f t="shared" si="6"/>
        <v>0.10870077811836831</v>
      </c>
      <c r="R57" s="52">
        <f t="shared" si="7"/>
        <v>0.1021759697256386</v>
      </c>
      <c r="S57" s="52">
        <f t="shared" si="8"/>
        <v>6.5248083927297168E-3</v>
      </c>
      <c r="T57" s="52">
        <f t="shared" si="9"/>
        <v>7.9749646678780539E-2</v>
      </c>
      <c r="U57" s="52">
        <f t="shared" si="10"/>
        <v>2.8951131439587774E-2</v>
      </c>
      <c r="V57" s="52">
        <f t="shared" si="11"/>
        <v>6.0992907801418438E-2</v>
      </c>
      <c r="W57" s="52">
        <f t="shared" si="12"/>
        <v>4.7707870316949876E-2</v>
      </c>
      <c r="X57" s="84">
        <v>0.31111111111111112</v>
      </c>
      <c r="Y57" s="84">
        <v>0.25164426520353916</v>
      </c>
      <c r="Z57" s="80">
        <v>0.35483870967741937</v>
      </c>
      <c r="AA57" s="140">
        <v>0.31230047683241868</v>
      </c>
    </row>
    <row r="58" spans="1:27" s="55" customFormat="1" ht="16" x14ac:dyDescent="0.2">
      <c r="A58" s="73">
        <v>83</v>
      </c>
      <c r="B58" s="45" t="s">
        <v>77</v>
      </c>
      <c r="C58" s="83">
        <v>753</v>
      </c>
      <c r="D58" s="75">
        <v>778</v>
      </c>
      <c r="E58" s="52">
        <f t="shared" si="0"/>
        <v>3.3200531208499334E-2</v>
      </c>
      <c r="F58" s="88">
        <v>685</v>
      </c>
      <c r="G58" s="52">
        <f t="shared" si="1"/>
        <v>0.13576642335766423</v>
      </c>
      <c r="H58" s="90">
        <v>416</v>
      </c>
      <c r="I58" s="52">
        <f t="shared" si="2"/>
        <v>0.87019230769230771</v>
      </c>
      <c r="J58" s="75">
        <v>6115</v>
      </c>
      <c r="K58" s="88">
        <v>5993</v>
      </c>
      <c r="L58" s="54">
        <f t="shared" si="3"/>
        <v>2.0357083263807776E-2</v>
      </c>
      <c r="M58" s="83">
        <v>6072</v>
      </c>
      <c r="N58" s="54">
        <f t="shared" si="4"/>
        <v>7.0816864295125161E-3</v>
      </c>
      <c r="O58" s="89">
        <v>7392</v>
      </c>
      <c r="P58" s="52">
        <f t="shared" si="5"/>
        <v>-0.17275432900432899</v>
      </c>
      <c r="Q58" s="52">
        <f t="shared" si="6"/>
        <v>0.12722812755519214</v>
      </c>
      <c r="R58" s="52">
        <f t="shared" si="7"/>
        <v>0.12564658768563325</v>
      </c>
      <c r="S58" s="52">
        <f t="shared" si="8"/>
        <v>1.58153986955889E-3</v>
      </c>
      <c r="T58" s="52">
        <f t="shared" si="9"/>
        <v>0.1128129117259552</v>
      </c>
      <c r="U58" s="52">
        <f t="shared" si="10"/>
        <v>1.4415215829236938E-2</v>
      </c>
      <c r="V58" s="52">
        <f t="shared" si="11"/>
        <v>5.627705627705628E-2</v>
      </c>
      <c r="W58" s="52">
        <f t="shared" si="12"/>
        <v>7.0951071278135852E-2</v>
      </c>
      <c r="X58" s="84">
        <v>0.1</v>
      </c>
      <c r="Y58" s="84">
        <v>5.888888888888888E-2</v>
      </c>
      <c r="Z58" s="80">
        <v>0.33783783783783783</v>
      </c>
      <c r="AA58" s="140">
        <v>0.25877663542212925</v>
      </c>
    </row>
    <row r="59" spans="1:27" s="55" customFormat="1" ht="16" x14ac:dyDescent="0.2">
      <c r="A59" s="73">
        <v>84</v>
      </c>
      <c r="B59" s="45" t="s">
        <v>11</v>
      </c>
      <c r="C59" s="103"/>
      <c r="D59" s="103"/>
      <c r="E59" s="52"/>
      <c r="F59" s="52"/>
      <c r="G59" s="52"/>
      <c r="H59" s="103"/>
      <c r="I59" s="52"/>
      <c r="J59" s="109"/>
      <c r="K59" s="52"/>
      <c r="L59" s="54"/>
      <c r="M59" s="109"/>
      <c r="N59" s="54"/>
      <c r="O59" s="109"/>
      <c r="P59" s="52"/>
      <c r="Q59" s="52"/>
      <c r="R59" s="52"/>
      <c r="S59" s="52"/>
      <c r="T59" s="52"/>
      <c r="U59" s="52"/>
      <c r="V59" s="52"/>
      <c r="W59" s="52"/>
      <c r="X59" s="84"/>
      <c r="Y59" s="84"/>
      <c r="Z59" s="80"/>
      <c r="AA59" s="141"/>
    </row>
    <row r="60" spans="1:27" s="55" customFormat="1" ht="16" x14ac:dyDescent="0.2">
      <c r="A60" s="73">
        <v>85</v>
      </c>
      <c r="B60" s="45" t="s">
        <v>12</v>
      </c>
      <c r="C60" s="103"/>
      <c r="D60" s="103"/>
      <c r="E60" s="52"/>
      <c r="F60" s="52"/>
      <c r="G60" s="52"/>
      <c r="H60" s="103"/>
      <c r="I60" s="52"/>
      <c r="J60" s="109"/>
      <c r="K60" s="52"/>
      <c r="L60" s="54"/>
      <c r="M60" s="109"/>
      <c r="N60" s="54"/>
      <c r="O60" s="109"/>
      <c r="P60" s="52"/>
      <c r="Q60" s="52"/>
      <c r="R60" s="52"/>
      <c r="S60" s="52"/>
      <c r="T60" s="52"/>
      <c r="U60" s="52"/>
      <c r="V60" s="52"/>
      <c r="W60" s="52"/>
      <c r="X60" s="84"/>
      <c r="Y60" s="84"/>
      <c r="Z60" s="80"/>
      <c r="AA60" s="141"/>
    </row>
    <row r="61" spans="1:27" s="55" customFormat="1" ht="16" x14ac:dyDescent="0.2">
      <c r="A61" s="73">
        <v>87</v>
      </c>
      <c r="B61" s="45" t="s">
        <v>8</v>
      </c>
      <c r="C61" s="103"/>
      <c r="D61" s="103"/>
      <c r="E61" s="52"/>
      <c r="F61" s="52"/>
      <c r="G61" s="52"/>
      <c r="H61" s="103"/>
      <c r="I61" s="52"/>
      <c r="J61" s="109"/>
      <c r="K61" s="52"/>
      <c r="L61" s="54"/>
      <c r="M61" s="109"/>
      <c r="N61" s="54"/>
      <c r="O61" s="109"/>
      <c r="P61" s="52"/>
      <c r="Q61" s="52"/>
      <c r="R61" s="52"/>
      <c r="S61" s="52"/>
      <c r="T61" s="52"/>
      <c r="U61" s="52"/>
      <c r="V61" s="52"/>
      <c r="W61" s="52"/>
      <c r="X61" s="84"/>
      <c r="Y61" s="84"/>
      <c r="Z61" s="80"/>
      <c r="AA61" s="141"/>
    </row>
    <row r="62" spans="1:27" s="55" customFormat="1" ht="16" x14ac:dyDescent="0.2">
      <c r="A62" s="73">
        <v>91</v>
      </c>
      <c r="B62" s="45" t="s">
        <v>78</v>
      </c>
      <c r="C62" s="83">
        <v>220</v>
      </c>
      <c r="D62" s="75">
        <v>211</v>
      </c>
      <c r="E62" s="52">
        <f t="shared" si="0"/>
        <v>-4.0909090909090909E-2</v>
      </c>
      <c r="F62" s="88">
        <v>216</v>
      </c>
      <c r="G62" s="52">
        <f t="shared" si="1"/>
        <v>-2.3148148148148147E-2</v>
      </c>
      <c r="H62" s="90">
        <v>220</v>
      </c>
      <c r="I62" s="52">
        <f t="shared" si="2"/>
        <v>-4.0909090909090909E-2</v>
      </c>
      <c r="J62" s="75">
        <v>4509</v>
      </c>
      <c r="K62" s="88">
        <v>4448</v>
      </c>
      <c r="L62" s="54">
        <f t="shared" si="3"/>
        <v>1.3714028776978417E-2</v>
      </c>
      <c r="M62" s="83">
        <v>4606</v>
      </c>
      <c r="N62" s="54">
        <f t="shared" si="4"/>
        <v>-2.105948762483717E-2</v>
      </c>
      <c r="O62" s="89">
        <v>5396</v>
      </c>
      <c r="P62" s="52">
        <f t="shared" si="5"/>
        <v>-0.16438102297998516</v>
      </c>
      <c r="Q62" s="52">
        <f t="shared" si="6"/>
        <v>4.6795298292304277E-2</v>
      </c>
      <c r="R62" s="52">
        <f t="shared" si="7"/>
        <v>4.9460431654676257E-2</v>
      </c>
      <c r="S62" s="52">
        <f t="shared" si="8"/>
        <v>-2.6651333623719797E-3</v>
      </c>
      <c r="T62" s="52">
        <f t="shared" si="9"/>
        <v>4.6895353886235343E-2</v>
      </c>
      <c r="U62" s="52">
        <f t="shared" si="10"/>
        <v>-1.0005559393106572E-4</v>
      </c>
      <c r="V62" s="52">
        <f t="shared" si="11"/>
        <v>4.0770941438102296E-2</v>
      </c>
      <c r="W62" s="52">
        <f t="shared" si="12"/>
        <v>6.0243568542019815E-3</v>
      </c>
      <c r="X62" s="84">
        <v>0.3235294117647059</v>
      </c>
      <c r="Y62" s="84">
        <v>0.2653526020038684</v>
      </c>
      <c r="Z62" s="92"/>
      <c r="AA62" s="142"/>
    </row>
    <row r="63" spans="1:27" s="55" customFormat="1" ht="16" x14ac:dyDescent="0.2">
      <c r="A63" s="73">
        <v>92</v>
      </c>
      <c r="B63" s="45" t="s">
        <v>14</v>
      </c>
      <c r="C63" s="103"/>
      <c r="D63" s="103"/>
      <c r="E63" s="52"/>
      <c r="F63" s="52"/>
      <c r="G63" s="52"/>
      <c r="H63" s="103"/>
      <c r="I63" s="52"/>
      <c r="J63" s="103"/>
      <c r="K63" s="52"/>
      <c r="L63" s="54"/>
      <c r="M63" s="103"/>
      <c r="N63" s="54"/>
      <c r="O63" s="103"/>
      <c r="P63" s="52"/>
      <c r="Q63" s="52"/>
      <c r="R63" s="52"/>
      <c r="S63" s="52"/>
      <c r="T63" s="52"/>
      <c r="U63" s="52"/>
      <c r="V63" s="52"/>
      <c r="W63" s="52"/>
      <c r="X63" s="84"/>
      <c r="Y63" s="84"/>
      <c r="Z63" s="80"/>
      <c r="AA63" s="141"/>
    </row>
    <row r="71" spans="2:2" ht="17" x14ac:dyDescent="0.2">
      <c r="B71" s="10" t="s">
        <v>2</v>
      </c>
    </row>
    <row r="72" spans="2:2" x14ac:dyDescent="0.2">
      <c r="B72" s="11" t="s">
        <v>79</v>
      </c>
    </row>
    <row r="73" spans="2:2" x14ac:dyDescent="0.2">
      <c r="B73" s="12" t="s">
        <v>80</v>
      </c>
    </row>
    <row r="74" spans="2:2" x14ac:dyDescent="0.2">
      <c r="B74" t="s">
        <v>81</v>
      </c>
    </row>
    <row r="85" spans="2:2" ht="16" x14ac:dyDescent="0.2">
      <c r="B85" s="1"/>
    </row>
  </sheetData>
  <pageMargins left="0.7" right="0.7" top="0.75" bottom="0.75" header="0.3" footer="0.3"/>
  <pageSetup orientation="portrait" horizontalDpi="4294967295" verticalDpi="4294967295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36619-4561-D34B-BBAF-7AAAD437E1D7}">
  <dimension ref="A1:AA63"/>
  <sheetViews>
    <sheetView topLeftCell="G1" zoomScaleNormal="100" workbookViewId="0">
      <selection activeCell="Q18" sqref="Q18"/>
    </sheetView>
  </sheetViews>
  <sheetFormatPr baseColWidth="10" defaultColWidth="11.5" defaultRowHeight="15" x14ac:dyDescent="0.2"/>
  <sheetData>
    <row r="1" spans="1:27" x14ac:dyDescent="0.2">
      <c r="A1" s="17" t="s">
        <v>119</v>
      </c>
    </row>
    <row r="2" spans="1:27" ht="16" thickBot="1" x14ac:dyDescent="0.25"/>
    <row r="3" spans="1:27" ht="102" x14ac:dyDescent="0.2">
      <c r="A3" s="46" t="s">
        <v>16</v>
      </c>
      <c r="B3" s="47" t="s">
        <v>17</v>
      </c>
      <c r="C3" s="47" t="s">
        <v>120</v>
      </c>
      <c r="D3" s="47" t="s">
        <v>18</v>
      </c>
      <c r="E3" s="47" t="s">
        <v>0</v>
      </c>
      <c r="F3" s="47" t="s">
        <v>121</v>
      </c>
      <c r="G3" s="47" t="s">
        <v>19</v>
      </c>
      <c r="H3" s="47" t="s">
        <v>122</v>
      </c>
      <c r="I3" s="47" t="s">
        <v>20</v>
      </c>
      <c r="J3" s="47" t="s">
        <v>21</v>
      </c>
      <c r="K3" s="47" t="s">
        <v>123</v>
      </c>
      <c r="L3" s="47" t="s">
        <v>22</v>
      </c>
      <c r="M3" s="47" t="s">
        <v>124</v>
      </c>
      <c r="N3" s="47" t="s">
        <v>23</v>
      </c>
      <c r="O3" s="47" t="s">
        <v>125</v>
      </c>
      <c r="P3" s="47" t="s">
        <v>24</v>
      </c>
      <c r="Q3" s="47" t="s">
        <v>1</v>
      </c>
      <c r="R3" s="47" t="s">
        <v>90</v>
      </c>
      <c r="S3" s="47" t="s">
        <v>25</v>
      </c>
      <c r="T3" s="47" t="s">
        <v>91</v>
      </c>
      <c r="U3" s="47" t="s">
        <v>26</v>
      </c>
      <c r="V3" s="47" t="s">
        <v>92</v>
      </c>
      <c r="W3" s="47" t="s">
        <v>27</v>
      </c>
      <c r="X3" s="47" t="s">
        <v>28</v>
      </c>
      <c r="Y3" s="47" t="s">
        <v>29</v>
      </c>
      <c r="Z3" s="47" t="s">
        <v>30</v>
      </c>
      <c r="AA3" s="48" t="s">
        <v>31</v>
      </c>
    </row>
    <row r="4" spans="1:27" ht="16" x14ac:dyDescent="0.2">
      <c r="A4" s="71"/>
      <c r="B4" s="49" t="s">
        <v>32</v>
      </c>
      <c r="C4" s="50">
        <v>53487</v>
      </c>
      <c r="D4" s="51">
        <v>53995</v>
      </c>
      <c r="E4" s="52">
        <f>(D4-C4)/C4</f>
        <v>9.4976349393310518E-3</v>
      </c>
      <c r="F4" s="53">
        <v>49451</v>
      </c>
      <c r="G4" s="52">
        <f>(D4-F4)/F4</f>
        <v>9.1888940567430383E-2</v>
      </c>
      <c r="H4" s="53">
        <v>42474</v>
      </c>
      <c r="I4" s="52">
        <f>(D4-H4)/H4</f>
        <v>0.27124829307340964</v>
      </c>
      <c r="J4" s="51">
        <v>568983</v>
      </c>
      <c r="K4" s="50">
        <v>563247</v>
      </c>
      <c r="L4" s="54">
        <f>(J4-K4)/K4</f>
        <v>1.0183809234669692E-2</v>
      </c>
      <c r="M4" s="53">
        <v>558984</v>
      </c>
      <c r="N4" s="54">
        <f>(J4-M4)/M4</f>
        <v>1.788781074234683E-2</v>
      </c>
      <c r="O4" s="53">
        <v>579485</v>
      </c>
      <c r="P4" s="52">
        <f>(J4-O4)/O4</f>
        <v>-1.8122988515664771E-2</v>
      </c>
      <c r="Q4" s="52">
        <f>(D4/J4)</f>
        <v>9.4897387092408733E-2</v>
      </c>
      <c r="R4" s="52">
        <f>(C4/K4)</f>
        <v>9.4961890609270891E-2</v>
      </c>
      <c r="S4" s="52">
        <f>(Q4-R4)</f>
        <v>-6.4503516862157717E-5</v>
      </c>
      <c r="T4" s="52">
        <f>(F4/M4)</f>
        <v>8.8465859487928095E-2</v>
      </c>
      <c r="U4" s="52">
        <f>(Q4-T4)</f>
        <v>6.4315276044806385E-3</v>
      </c>
      <c r="V4" s="52">
        <f>(H4/O4)</f>
        <v>7.3296116379198778E-2</v>
      </c>
      <c r="W4" s="52">
        <f>(Q4-V4)</f>
        <v>2.1601270713209955E-2</v>
      </c>
      <c r="X4" s="54">
        <v>0.1394</v>
      </c>
      <c r="Y4" s="54">
        <v>0.14560000000000001</v>
      </c>
      <c r="Z4" s="72">
        <v>0.39229999999999998</v>
      </c>
      <c r="AA4" s="146">
        <v>0.39529999999999998</v>
      </c>
    </row>
    <row r="5" spans="1:27" ht="16" x14ac:dyDescent="0.2">
      <c r="A5" s="73">
        <v>5</v>
      </c>
      <c r="B5" s="45" t="s">
        <v>33</v>
      </c>
      <c r="C5" s="74">
        <v>548</v>
      </c>
      <c r="D5" s="75">
        <v>581</v>
      </c>
      <c r="E5" s="52">
        <f t="shared" ref="E5:E62" si="0">(D5-C5)/C5</f>
        <v>6.0218978102189784E-2</v>
      </c>
      <c r="F5" s="76">
        <v>447</v>
      </c>
      <c r="G5" s="52">
        <f t="shared" ref="G5:G62" si="1">(D5-F5)/F5</f>
        <v>0.29977628635346754</v>
      </c>
      <c r="H5" s="76">
        <v>352</v>
      </c>
      <c r="I5" s="52">
        <f t="shared" ref="I5:I62" si="2">(D5-H5)/H5</f>
        <v>0.65056818181818177</v>
      </c>
      <c r="J5" s="75">
        <v>5613</v>
      </c>
      <c r="K5" s="77">
        <v>5525</v>
      </c>
      <c r="L5" s="54">
        <f t="shared" ref="L5:L62" si="3">(J5-K5)/K5</f>
        <v>1.5927601809954752E-2</v>
      </c>
      <c r="M5" s="76">
        <v>5260</v>
      </c>
      <c r="N5" s="54">
        <f t="shared" ref="N5:N62" si="4">(J5-M5)/M5</f>
        <v>6.7110266159695814E-2</v>
      </c>
      <c r="O5" s="78">
        <v>5543</v>
      </c>
      <c r="P5" s="52">
        <f t="shared" ref="P5:P62" si="5">(J5-O5)/O5</f>
        <v>1.2628540501533466E-2</v>
      </c>
      <c r="Q5" s="52">
        <f t="shared" ref="Q5:Q62" si="6">(D5/J5)</f>
        <v>0.103509709602708</v>
      </c>
      <c r="R5" s="52">
        <f t="shared" ref="R5:R62" si="7">(C5/K5)</f>
        <v>9.918552036199095E-2</v>
      </c>
      <c r="S5" s="52">
        <f t="shared" ref="S5:S62" si="8">(Q5-R5)</f>
        <v>4.3241892407170496E-3</v>
      </c>
      <c r="T5" s="52">
        <f t="shared" ref="T5:T62" si="9">(F5/M5)</f>
        <v>8.4980988593155893E-2</v>
      </c>
      <c r="U5" s="52">
        <f t="shared" ref="U5:U62" si="10">(Q5-T5)</f>
        <v>1.8528721009552107E-2</v>
      </c>
      <c r="V5" s="52">
        <f t="shared" ref="V5:V62" si="11">(H5/O5)</f>
        <v>6.3503517950568286E-2</v>
      </c>
      <c r="W5" s="52">
        <f t="shared" ref="W5:W62" si="12">(Q5-V5)</f>
        <v>4.0006191652139714E-2</v>
      </c>
      <c r="X5" s="79">
        <v>-0.73170000000000002</v>
      </c>
      <c r="Y5" s="72">
        <v>0.77669999999999995</v>
      </c>
      <c r="Z5" s="80">
        <v>0.5</v>
      </c>
      <c r="AA5" s="140">
        <v>0.35859999999999997</v>
      </c>
    </row>
    <row r="6" spans="1:27" ht="16" x14ac:dyDescent="0.2">
      <c r="A6" s="81">
        <v>6</v>
      </c>
      <c r="B6" s="59" t="s">
        <v>34</v>
      </c>
      <c r="C6" s="60">
        <v>143</v>
      </c>
      <c r="D6" s="61">
        <v>161</v>
      </c>
      <c r="E6" s="56">
        <f t="shared" si="0"/>
        <v>0.12587412587412589</v>
      </c>
      <c r="F6" s="62">
        <v>145</v>
      </c>
      <c r="G6" s="56">
        <f t="shared" si="1"/>
        <v>0.1103448275862069</v>
      </c>
      <c r="H6" s="62">
        <v>219</v>
      </c>
      <c r="I6" s="56">
        <f t="shared" si="2"/>
        <v>-0.26484018264840181</v>
      </c>
      <c r="J6" s="61">
        <v>3425</v>
      </c>
      <c r="K6" s="63">
        <v>3249</v>
      </c>
      <c r="L6" s="57">
        <f t="shared" si="3"/>
        <v>5.4170514004309021E-2</v>
      </c>
      <c r="M6" s="62">
        <v>3102</v>
      </c>
      <c r="N6" s="57">
        <f t="shared" si="4"/>
        <v>0.10412637008381689</v>
      </c>
      <c r="O6" s="148">
        <v>3359</v>
      </c>
      <c r="P6" s="56">
        <f t="shared" si="5"/>
        <v>1.9648704971717772E-2</v>
      </c>
      <c r="Q6" s="56">
        <f t="shared" si="6"/>
        <v>4.7007299270072994E-2</v>
      </c>
      <c r="R6" s="56">
        <f t="shared" si="7"/>
        <v>4.401354262850108E-2</v>
      </c>
      <c r="S6" s="56">
        <f t="shared" si="8"/>
        <v>2.9937566415719138E-3</v>
      </c>
      <c r="T6" s="56">
        <f t="shared" si="9"/>
        <v>4.6744036105738233E-2</v>
      </c>
      <c r="U6" s="56">
        <f t="shared" si="10"/>
        <v>2.6326316433476077E-4</v>
      </c>
      <c r="V6" s="56">
        <f t="shared" si="11"/>
        <v>6.5197975587972606E-2</v>
      </c>
      <c r="W6" s="56">
        <f t="shared" si="12"/>
        <v>-1.8190676317899612E-2</v>
      </c>
      <c r="X6" s="57"/>
      <c r="Y6" s="57"/>
      <c r="Z6" s="65">
        <v>0.45450000000000002</v>
      </c>
      <c r="AA6" s="143">
        <v>0.51480000000000004</v>
      </c>
    </row>
    <row r="7" spans="1:27" ht="16" x14ac:dyDescent="0.2">
      <c r="A7" s="73">
        <v>8</v>
      </c>
      <c r="B7" s="45" t="s">
        <v>35</v>
      </c>
      <c r="C7" s="83">
        <v>270</v>
      </c>
      <c r="D7" s="75">
        <v>269</v>
      </c>
      <c r="E7" s="52">
        <f t="shared" si="0"/>
        <v>-3.7037037037037038E-3</v>
      </c>
      <c r="F7" s="76">
        <v>267</v>
      </c>
      <c r="G7" s="52">
        <f t="shared" si="1"/>
        <v>7.4906367041198503E-3</v>
      </c>
      <c r="H7" s="76">
        <v>276</v>
      </c>
      <c r="I7" s="52">
        <f t="shared" si="2"/>
        <v>-2.5362318840579712E-2</v>
      </c>
      <c r="J7" s="75">
        <v>4953</v>
      </c>
      <c r="K7" s="83">
        <v>4978</v>
      </c>
      <c r="L7" s="54">
        <f t="shared" si="3"/>
        <v>-5.0220972278023305E-3</v>
      </c>
      <c r="M7" s="76">
        <v>5243</v>
      </c>
      <c r="N7" s="54">
        <f t="shared" si="4"/>
        <v>-5.5311844363913787E-2</v>
      </c>
      <c r="O7" s="53">
        <v>5367</v>
      </c>
      <c r="P7" s="52">
        <f t="shared" si="5"/>
        <v>-7.7138065958636107E-2</v>
      </c>
      <c r="Q7" s="52">
        <f t="shared" si="6"/>
        <v>5.4310518877448012E-2</v>
      </c>
      <c r="R7" s="52">
        <f t="shared" si="7"/>
        <v>5.4238650060265167E-2</v>
      </c>
      <c r="S7" s="52">
        <f t="shared" si="8"/>
        <v>7.1868817182844935E-5</v>
      </c>
      <c r="T7" s="52">
        <f t="shared" si="9"/>
        <v>5.0925042914362006E-2</v>
      </c>
      <c r="U7" s="52">
        <f t="shared" si="10"/>
        <v>3.3854759630860057E-3</v>
      </c>
      <c r="V7" s="52">
        <f t="shared" si="11"/>
        <v>5.1425377305757407E-2</v>
      </c>
      <c r="W7" s="52">
        <f t="shared" si="12"/>
        <v>2.8851415716906054E-3</v>
      </c>
      <c r="X7" s="57"/>
      <c r="Y7" s="57"/>
      <c r="Z7" s="80">
        <v>0.49020000000000002</v>
      </c>
      <c r="AA7" s="140">
        <v>0.50239999999999996</v>
      </c>
    </row>
    <row r="8" spans="1:27" ht="16" x14ac:dyDescent="0.2">
      <c r="A8" s="81">
        <v>10</v>
      </c>
      <c r="B8" s="59" t="s">
        <v>3</v>
      </c>
      <c r="C8" s="58"/>
      <c r="D8" s="58"/>
      <c r="E8" s="56"/>
      <c r="F8" s="58"/>
      <c r="G8" s="56"/>
      <c r="H8" s="58"/>
      <c r="I8" s="56"/>
      <c r="J8" s="58"/>
      <c r="K8" s="58"/>
      <c r="L8" s="57"/>
      <c r="M8" s="58"/>
      <c r="N8" s="57"/>
      <c r="O8" s="58"/>
      <c r="P8" s="56"/>
      <c r="Q8" s="56"/>
      <c r="R8" s="56"/>
      <c r="S8" s="56"/>
      <c r="T8" s="56"/>
      <c r="U8" s="56"/>
      <c r="V8" s="56"/>
      <c r="W8" s="56"/>
      <c r="X8" s="67"/>
      <c r="Y8" s="67"/>
      <c r="Z8" s="65"/>
      <c r="AA8" s="144"/>
    </row>
    <row r="9" spans="1:27" ht="16" x14ac:dyDescent="0.2">
      <c r="A9" s="73">
        <v>19</v>
      </c>
      <c r="B9" s="45" t="s">
        <v>4</v>
      </c>
      <c r="C9" s="55"/>
      <c r="D9" s="55"/>
      <c r="E9" s="52"/>
      <c r="F9" s="55"/>
      <c r="G9" s="52"/>
      <c r="H9" s="55"/>
      <c r="I9" s="52"/>
      <c r="J9" s="55"/>
      <c r="K9" s="55"/>
      <c r="L9" s="54"/>
      <c r="M9" s="55"/>
      <c r="N9" s="54"/>
      <c r="O9" s="55"/>
      <c r="P9" s="52"/>
      <c r="Q9" s="52"/>
      <c r="R9" s="52"/>
      <c r="S9" s="52"/>
      <c r="T9" s="52"/>
      <c r="U9" s="52"/>
      <c r="V9" s="52"/>
      <c r="W9" s="52"/>
      <c r="X9" s="84"/>
      <c r="Y9" s="84"/>
      <c r="Z9" s="80"/>
      <c r="AA9" s="141"/>
    </row>
    <row r="10" spans="1:27" ht="16" x14ac:dyDescent="0.2">
      <c r="A10" s="73">
        <v>20</v>
      </c>
      <c r="B10" s="45" t="s">
        <v>36</v>
      </c>
      <c r="C10" s="76">
        <v>352</v>
      </c>
      <c r="D10" s="75">
        <v>307</v>
      </c>
      <c r="E10" s="52">
        <f t="shared" si="0"/>
        <v>-0.12784090909090909</v>
      </c>
      <c r="F10" s="76">
        <v>202</v>
      </c>
      <c r="G10" s="52">
        <f t="shared" si="1"/>
        <v>0.51980198019801982</v>
      </c>
      <c r="H10" s="53">
        <v>171</v>
      </c>
      <c r="I10" s="52">
        <f t="shared" si="2"/>
        <v>0.79532163742690054</v>
      </c>
      <c r="J10" s="75">
        <v>3942</v>
      </c>
      <c r="K10" s="76">
        <v>3826</v>
      </c>
      <c r="L10" s="54">
        <f t="shared" si="3"/>
        <v>3.0318870883429168E-2</v>
      </c>
      <c r="M10" s="76">
        <v>3739</v>
      </c>
      <c r="N10" s="54">
        <f t="shared" si="4"/>
        <v>5.4292591602032626E-2</v>
      </c>
      <c r="O10" s="53">
        <v>4279</v>
      </c>
      <c r="P10" s="52">
        <f t="shared" si="5"/>
        <v>-7.8756718859546618E-2</v>
      </c>
      <c r="Q10" s="52">
        <f t="shared" si="6"/>
        <v>7.787924911212582E-2</v>
      </c>
      <c r="R10" s="52">
        <f t="shared" si="7"/>
        <v>9.2002090956612645E-2</v>
      </c>
      <c r="S10" s="52">
        <f t="shared" si="8"/>
        <v>-1.4122841844486825E-2</v>
      </c>
      <c r="T10" s="52">
        <f t="shared" si="9"/>
        <v>5.4025140411874832E-2</v>
      </c>
      <c r="U10" s="52">
        <f t="shared" si="10"/>
        <v>2.3854108700250988E-2</v>
      </c>
      <c r="V10" s="52">
        <f t="shared" si="11"/>
        <v>3.9962608086001404E-2</v>
      </c>
      <c r="W10" s="52">
        <f t="shared" si="12"/>
        <v>3.7916641026124416E-2</v>
      </c>
      <c r="X10" s="87"/>
      <c r="Y10" s="72"/>
      <c r="Z10" s="80">
        <v>0.439</v>
      </c>
      <c r="AA10" s="140">
        <v>0.46579999999999999</v>
      </c>
    </row>
    <row r="11" spans="1:27" ht="16" x14ac:dyDescent="0.2">
      <c r="A11" s="81">
        <v>22</v>
      </c>
      <c r="B11" s="59" t="s">
        <v>37</v>
      </c>
      <c r="C11" s="62">
        <v>1182</v>
      </c>
      <c r="D11" s="61">
        <v>1190</v>
      </c>
      <c r="E11" s="56">
        <f t="shared" si="0"/>
        <v>6.7681895093062603E-3</v>
      </c>
      <c r="F11" s="62">
        <v>1055</v>
      </c>
      <c r="G11" s="56">
        <f t="shared" si="1"/>
        <v>0.12796208530805686</v>
      </c>
      <c r="H11" s="62">
        <v>914</v>
      </c>
      <c r="I11" s="56">
        <f t="shared" si="2"/>
        <v>0.30196936542669583</v>
      </c>
      <c r="J11" s="61">
        <v>8654</v>
      </c>
      <c r="K11" s="68">
        <v>8619</v>
      </c>
      <c r="L11" s="57">
        <f t="shared" si="3"/>
        <v>4.0607959159995356E-3</v>
      </c>
      <c r="M11" s="63">
        <v>8127</v>
      </c>
      <c r="N11" s="57">
        <f t="shared" si="4"/>
        <v>6.4845576473483449E-2</v>
      </c>
      <c r="O11" s="69">
        <v>9047</v>
      </c>
      <c r="P11" s="56">
        <f t="shared" si="5"/>
        <v>-4.3439814303083898E-2</v>
      </c>
      <c r="Q11" s="56">
        <f t="shared" si="6"/>
        <v>0.13750866651259533</v>
      </c>
      <c r="R11" s="56">
        <f t="shared" si="7"/>
        <v>0.13713887922032719</v>
      </c>
      <c r="S11" s="56">
        <f t="shared" si="8"/>
        <v>3.6978729226813667E-4</v>
      </c>
      <c r="T11" s="56">
        <f t="shared" si="9"/>
        <v>0.12981419958164145</v>
      </c>
      <c r="U11" s="56">
        <f t="shared" si="10"/>
        <v>7.6944669309538805E-3</v>
      </c>
      <c r="V11" s="56">
        <f t="shared" si="11"/>
        <v>0.10102796507129436</v>
      </c>
      <c r="W11" s="56">
        <f t="shared" si="12"/>
        <v>3.6480701441300972E-2</v>
      </c>
      <c r="X11" s="66">
        <v>0.1134</v>
      </c>
      <c r="Y11" s="66">
        <v>9.0399999999999994E-2</v>
      </c>
      <c r="Z11" s="65">
        <v>0.29630000000000001</v>
      </c>
      <c r="AA11" s="143">
        <v>0.32969999999999999</v>
      </c>
    </row>
    <row r="12" spans="1:27" ht="16" x14ac:dyDescent="0.2">
      <c r="A12" s="73">
        <v>23</v>
      </c>
      <c r="B12" s="45" t="s">
        <v>38</v>
      </c>
      <c r="C12" s="76">
        <v>2572</v>
      </c>
      <c r="D12" s="75">
        <v>2634</v>
      </c>
      <c r="E12" s="52">
        <f t="shared" si="0"/>
        <v>2.410575427682737E-2</v>
      </c>
      <c r="F12" s="88">
        <v>2191</v>
      </c>
      <c r="G12" s="52">
        <f t="shared" si="1"/>
        <v>0.20219078046554084</v>
      </c>
      <c r="H12" s="90">
        <v>1801</v>
      </c>
      <c r="I12" s="52">
        <f t="shared" si="2"/>
        <v>0.46252082176568571</v>
      </c>
      <c r="J12" s="75">
        <v>22735</v>
      </c>
      <c r="K12" s="91">
        <v>22375</v>
      </c>
      <c r="L12" s="54">
        <f t="shared" si="3"/>
        <v>1.6089385474860336E-2</v>
      </c>
      <c r="M12" s="83">
        <v>21293</v>
      </c>
      <c r="N12" s="54">
        <f t="shared" si="4"/>
        <v>6.772178650260649E-2</v>
      </c>
      <c r="O12" s="89">
        <v>21737</v>
      </c>
      <c r="P12" s="52">
        <f t="shared" si="5"/>
        <v>4.5912499424943645E-2</v>
      </c>
      <c r="Q12" s="52">
        <f t="shared" si="6"/>
        <v>0.11585660875302398</v>
      </c>
      <c r="R12" s="52">
        <f t="shared" si="7"/>
        <v>0.11494972067039107</v>
      </c>
      <c r="S12" s="52">
        <f t="shared" si="8"/>
        <v>9.0688808263290899E-4</v>
      </c>
      <c r="T12" s="52">
        <f t="shared" si="9"/>
        <v>0.10289766589959141</v>
      </c>
      <c r="U12" s="52">
        <f t="shared" si="10"/>
        <v>1.2958942853432562E-2</v>
      </c>
      <c r="V12" s="52">
        <f t="shared" si="11"/>
        <v>8.2854119703730966E-2</v>
      </c>
      <c r="W12" s="52">
        <f t="shared" si="12"/>
        <v>3.300248904929301E-2</v>
      </c>
      <c r="X12" s="72">
        <v>4.02E-2</v>
      </c>
      <c r="Y12" s="72">
        <v>0.1326</v>
      </c>
      <c r="Z12" s="80">
        <v>0.37009999999999998</v>
      </c>
      <c r="AA12" s="140">
        <v>0.29260000000000003</v>
      </c>
    </row>
    <row r="13" spans="1:27" ht="16" x14ac:dyDescent="0.2">
      <c r="A13" s="73">
        <v>27</v>
      </c>
      <c r="B13" s="45" t="s">
        <v>39</v>
      </c>
      <c r="C13" s="76">
        <v>390</v>
      </c>
      <c r="D13" s="75">
        <v>407</v>
      </c>
      <c r="E13" s="52">
        <f t="shared" si="0"/>
        <v>4.3589743589743588E-2</v>
      </c>
      <c r="F13" s="88">
        <v>319</v>
      </c>
      <c r="G13" s="52">
        <f t="shared" si="1"/>
        <v>0.27586206896551724</v>
      </c>
      <c r="H13" s="90">
        <v>335</v>
      </c>
      <c r="I13" s="52">
        <f t="shared" si="2"/>
        <v>0.21492537313432836</v>
      </c>
      <c r="J13" s="75">
        <v>4743</v>
      </c>
      <c r="K13" s="78">
        <v>4696</v>
      </c>
      <c r="L13" s="54">
        <f t="shared" si="3"/>
        <v>1.0008517887563885E-2</v>
      </c>
      <c r="M13" s="83">
        <v>4947</v>
      </c>
      <c r="N13" s="54">
        <f t="shared" si="4"/>
        <v>-4.1237113402061855E-2</v>
      </c>
      <c r="O13" s="89">
        <v>6287</v>
      </c>
      <c r="P13" s="52">
        <f t="shared" si="5"/>
        <v>-0.24558613010975028</v>
      </c>
      <c r="Q13" s="52">
        <f t="shared" si="6"/>
        <v>8.5810668353362846E-2</v>
      </c>
      <c r="R13" s="52">
        <f t="shared" si="7"/>
        <v>8.3049403747870523E-2</v>
      </c>
      <c r="S13" s="52">
        <f t="shared" si="8"/>
        <v>2.7612646054923223E-3</v>
      </c>
      <c r="T13" s="52">
        <f t="shared" si="9"/>
        <v>6.4483525368910458E-2</v>
      </c>
      <c r="U13" s="52">
        <f t="shared" si="10"/>
        <v>2.1327142984452388E-2</v>
      </c>
      <c r="V13" s="52">
        <f t="shared" si="11"/>
        <v>5.3284555431843489E-2</v>
      </c>
      <c r="W13" s="52">
        <f t="shared" si="12"/>
        <v>3.2526112921519357E-2</v>
      </c>
      <c r="X13" s="72">
        <v>0.20449999999999999</v>
      </c>
      <c r="Y13" s="72">
        <v>0.1825</v>
      </c>
      <c r="Z13" s="92">
        <v>0.42859999999999998</v>
      </c>
      <c r="AA13" s="142">
        <v>0.42330000000000001</v>
      </c>
    </row>
    <row r="14" spans="1:27" ht="17" x14ac:dyDescent="0.2">
      <c r="A14" s="73">
        <v>28</v>
      </c>
      <c r="B14" s="45" t="s">
        <v>40</v>
      </c>
      <c r="C14" s="83">
        <v>201</v>
      </c>
      <c r="D14" s="75">
        <v>194</v>
      </c>
      <c r="E14" s="52">
        <f t="shared" si="0"/>
        <v>-3.482587064676617E-2</v>
      </c>
      <c r="F14" s="88">
        <v>194</v>
      </c>
      <c r="G14" s="52">
        <f t="shared" si="1"/>
        <v>0</v>
      </c>
      <c r="H14" s="90" t="s">
        <v>85</v>
      </c>
      <c r="I14" s="52" t="e">
        <f t="shared" si="2"/>
        <v>#VALUE!</v>
      </c>
      <c r="J14" s="75">
        <v>2963</v>
      </c>
      <c r="K14" s="93">
        <v>2971</v>
      </c>
      <c r="L14" s="54">
        <f t="shared" si="3"/>
        <v>-2.6926960619320095E-3</v>
      </c>
      <c r="M14" s="83">
        <v>3374</v>
      </c>
      <c r="N14" s="54">
        <f t="shared" si="4"/>
        <v>-0.12181387077652638</v>
      </c>
      <c r="O14" s="89">
        <v>3988</v>
      </c>
      <c r="P14" s="52">
        <f t="shared" si="5"/>
        <v>-0.25702106318956869</v>
      </c>
      <c r="Q14" s="52">
        <f t="shared" si="6"/>
        <v>6.5474181572730342E-2</v>
      </c>
      <c r="R14" s="52">
        <f t="shared" si="7"/>
        <v>6.7653988556041739E-2</v>
      </c>
      <c r="S14" s="52">
        <f t="shared" si="8"/>
        <v>-2.179806983311397E-3</v>
      </c>
      <c r="T14" s="52">
        <f t="shared" si="9"/>
        <v>5.7498518079430939E-2</v>
      </c>
      <c r="U14" s="52">
        <f t="shared" si="10"/>
        <v>7.9756634932994022E-3</v>
      </c>
      <c r="V14" s="52" t="e">
        <f t="shared" si="11"/>
        <v>#VALUE!</v>
      </c>
      <c r="W14" s="52" t="e">
        <f t="shared" si="12"/>
        <v>#VALUE!</v>
      </c>
      <c r="X14" s="72">
        <v>0.16669999999999999</v>
      </c>
      <c r="Y14" s="72">
        <v>0.2329</v>
      </c>
      <c r="Z14" s="80">
        <v>0.5</v>
      </c>
      <c r="AA14" s="140">
        <v>0.42880000000000001</v>
      </c>
    </row>
    <row r="15" spans="1:27" ht="16" x14ac:dyDescent="0.2">
      <c r="A15" s="73">
        <v>33</v>
      </c>
      <c r="B15" s="45" t="s">
        <v>41</v>
      </c>
      <c r="C15" s="83">
        <v>628</v>
      </c>
      <c r="D15" s="75">
        <v>666</v>
      </c>
      <c r="E15" s="52">
        <f t="shared" si="0"/>
        <v>6.0509554140127389E-2</v>
      </c>
      <c r="F15" s="88">
        <v>478</v>
      </c>
      <c r="G15" s="52">
        <f t="shared" si="1"/>
        <v>0.39330543933054396</v>
      </c>
      <c r="H15" s="90">
        <v>474</v>
      </c>
      <c r="I15" s="52">
        <f t="shared" si="2"/>
        <v>0.4050632911392405</v>
      </c>
      <c r="J15" s="75">
        <v>13664</v>
      </c>
      <c r="K15" s="93">
        <v>13634</v>
      </c>
      <c r="L15" s="54">
        <f t="shared" si="3"/>
        <v>2.2003813994425701E-3</v>
      </c>
      <c r="M15" s="83">
        <v>12995</v>
      </c>
      <c r="N15" s="54">
        <f t="shared" si="4"/>
        <v>5.1481338976529435E-2</v>
      </c>
      <c r="O15" s="89">
        <v>13718</v>
      </c>
      <c r="P15" s="52">
        <f t="shared" si="5"/>
        <v>-3.9364338824901587E-3</v>
      </c>
      <c r="Q15" s="52">
        <f t="shared" si="6"/>
        <v>4.8741217798594846E-2</v>
      </c>
      <c r="R15" s="52">
        <f t="shared" si="7"/>
        <v>4.6061317294997801E-2</v>
      </c>
      <c r="S15" s="52">
        <f t="shared" si="8"/>
        <v>2.679900503597045E-3</v>
      </c>
      <c r="T15" s="52">
        <f t="shared" si="9"/>
        <v>3.6783378222393227E-2</v>
      </c>
      <c r="U15" s="52">
        <f t="shared" si="10"/>
        <v>1.1957839576201619E-2</v>
      </c>
      <c r="V15" s="52">
        <f t="shared" si="11"/>
        <v>3.4553141857413615E-2</v>
      </c>
      <c r="W15" s="52">
        <f t="shared" si="12"/>
        <v>1.4188075941181232E-2</v>
      </c>
      <c r="X15" s="72"/>
      <c r="Y15" s="72"/>
      <c r="Z15" s="80">
        <v>0.39290000000000003</v>
      </c>
      <c r="AA15" s="140">
        <v>0.33800000000000002</v>
      </c>
    </row>
    <row r="16" spans="1:27" ht="16" x14ac:dyDescent="0.2">
      <c r="A16" s="73">
        <v>34</v>
      </c>
      <c r="B16" s="45" t="s">
        <v>42</v>
      </c>
      <c r="C16" s="83">
        <v>1344</v>
      </c>
      <c r="D16" s="75">
        <v>1352</v>
      </c>
      <c r="E16" s="52">
        <f t="shared" si="0"/>
        <v>5.9523809523809521E-3</v>
      </c>
      <c r="F16" s="88">
        <v>1231</v>
      </c>
      <c r="G16" s="52">
        <f t="shared" si="1"/>
        <v>9.8294069861900896E-2</v>
      </c>
      <c r="H16" s="90">
        <v>1187</v>
      </c>
      <c r="I16" s="52">
        <f t="shared" si="2"/>
        <v>0.13900589721988205</v>
      </c>
      <c r="J16" s="75">
        <v>19805</v>
      </c>
      <c r="K16" s="93">
        <v>19483</v>
      </c>
      <c r="L16" s="54">
        <f t="shared" si="3"/>
        <v>1.6527228866191037E-2</v>
      </c>
      <c r="M16" s="83">
        <v>19182</v>
      </c>
      <c r="N16" s="54">
        <f t="shared" si="4"/>
        <v>3.2478365133979774E-2</v>
      </c>
      <c r="O16" s="89">
        <v>19567</v>
      </c>
      <c r="P16" s="52">
        <f t="shared" si="5"/>
        <v>1.216333622936577E-2</v>
      </c>
      <c r="Q16" s="52">
        <f t="shared" si="6"/>
        <v>6.8265589497601614E-2</v>
      </c>
      <c r="R16" s="52">
        <f t="shared" si="7"/>
        <v>6.8983216137145198E-2</v>
      </c>
      <c r="S16" s="52">
        <f t="shared" si="8"/>
        <v>-7.1762663954358374E-4</v>
      </c>
      <c r="T16" s="52">
        <f t="shared" si="9"/>
        <v>6.4174747158794704E-2</v>
      </c>
      <c r="U16" s="52">
        <f t="shared" si="10"/>
        <v>4.0908423388069104E-3</v>
      </c>
      <c r="V16" s="52">
        <f t="shared" si="11"/>
        <v>6.0663361782593142E-2</v>
      </c>
      <c r="W16" s="52">
        <f t="shared" si="12"/>
        <v>7.6022277150084722E-3</v>
      </c>
      <c r="X16" s="84">
        <v>0.3276</v>
      </c>
      <c r="Y16" s="84">
        <v>0.28270000000000001</v>
      </c>
      <c r="Z16" s="80">
        <v>5.4300000000000001E-2</v>
      </c>
      <c r="AA16" s="140">
        <v>0.25480000000000003</v>
      </c>
    </row>
    <row r="17" spans="1:27" ht="16" x14ac:dyDescent="0.2">
      <c r="A17" s="73">
        <v>35</v>
      </c>
      <c r="B17" s="45" t="s">
        <v>43</v>
      </c>
      <c r="C17" s="83">
        <v>1476</v>
      </c>
      <c r="D17" s="75">
        <v>1473</v>
      </c>
      <c r="E17" s="52">
        <f t="shared" si="0"/>
        <v>-2.0325203252032522E-3</v>
      </c>
      <c r="F17" s="88">
        <v>1433</v>
      </c>
      <c r="G17" s="52">
        <f t="shared" si="1"/>
        <v>2.7913468248429867E-2</v>
      </c>
      <c r="H17" s="90">
        <v>1444</v>
      </c>
      <c r="I17" s="52">
        <f t="shared" si="2"/>
        <v>2.0083102493074791E-2</v>
      </c>
      <c r="J17" s="75">
        <v>22186</v>
      </c>
      <c r="K17" s="93">
        <v>21892</v>
      </c>
      <c r="L17" s="54">
        <f t="shared" si="3"/>
        <v>1.3429563310798465E-2</v>
      </c>
      <c r="M17" s="83">
        <v>19944</v>
      </c>
      <c r="N17" s="54">
        <f t="shared" si="4"/>
        <v>0.11241476133172884</v>
      </c>
      <c r="O17" s="89">
        <v>19767</v>
      </c>
      <c r="P17" s="52">
        <f t="shared" si="5"/>
        <v>0.1223756766327718</v>
      </c>
      <c r="Q17" s="52">
        <f t="shared" si="6"/>
        <v>6.639322095014874E-2</v>
      </c>
      <c r="R17" s="52">
        <f t="shared" si="7"/>
        <v>6.7421889274620866E-2</v>
      </c>
      <c r="S17" s="52">
        <f t="shared" si="8"/>
        <v>-1.0286683244721262E-3</v>
      </c>
      <c r="T17" s="52">
        <f t="shared" si="9"/>
        <v>7.1851183313277181E-2</v>
      </c>
      <c r="U17" s="52">
        <f t="shared" si="10"/>
        <v>-5.4579623631284407E-3</v>
      </c>
      <c r="V17" s="52">
        <f t="shared" si="11"/>
        <v>7.3051044670410278E-2</v>
      </c>
      <c r="W17" s="52">
        <f t="shared" si="12"/>
        <v>-6.6578237202615381E-3</v>
      </c>
      <c r="X17" s="84">
        <v>0.18890000000000001</v>
      </c>
      <c r="Y17" s="84">
        <v>7.8399999999999997E-2</v>
      </c>
      <c r="Z17" s="80">
        <v>0.47849999999999998</v>
      </c>
      <c r="AA17" s="140">
        <v>0.51080000000000003</v>
      </c>
    </row>
    <row r="18" spans="1:27" ht="16" x14ac:dyDescent="0.2">
      <c r="A18" s="73">
        <v>36</v>
      </c>
      <c r="B18" s="45" t="s">
        <v>44</v>
      </c>
      <c r="C18" s="76">
        <v>3252</v>
      </c>
      <c r="D18" s="75">
        <v>3239</v>
      </c>
      <c r="E18" s="52">
        <f t="shared" si="0"/>
        <v>-3.9975399753997536E-3</v>
      </c>
      <c r="F18" s="88">
        <v>3295</v>
      </c>
      <c r="G18" s="52">
        <f t="shared" si="1"/>
        <v>-1.6995447647951443E-2</v>
      </c>
      <c r="H18" s="90">
        <v>2790</v>
      </c>
      <c r="I18" s="52">
        <f t="shared" si="2"/>
        <v>0.16093189964157706</v>
      </c>
      <c r="J18" s="75">
        <v>73639</v>
      </c>
      <c r="K18" s="94">
        <v>72782</v>
      </c>
      <c r="L18" s="54">
        <f t="shared" si="3"/>
        <v>1.1774889395729713E-2</v>
      </c>
      <c r="M18" s="83">
        <v>72273</v>
      </c>
      <c r="N18" s="54">
        <f t="shared" si="4"/>
        <v>1.8900557607958713E-2</v>
      </c>
      <c r="O18" s="89">
        <v>67713</v>
      </c>
      <c r="P18" s="52">
        <f t="shared" si="5"/>
        <v>8.7516429636849649E-2</v>
      </c>
      <c r="Q18" s="52">
        <f t="shared" si="6"/>
        <v>4.3984844987031327E-2</v>
      </c>
      <c r="R18" s="52">
        <f t="shared" si="7"/>
        <v>4.4681377263609136E-2</v>
      </c>
      <c r="S18" s="52">
        <f t="shared" si="8"/>
        <v>-6.9653227657780897E-4</v>
      </c>
      <c r="T18" s="52">
        <f t="shared" si="9"/>
        <v>4.5591022926957506E-2</v>
      </c>
      <c r="U18" s="52">
        <f t="shared" si="10"/>
        <v>-1.6061779399261789E-3</v>
      </c>
      <c r="V18" s="52">
        <f t="shared" si="11"/>
        <v>4.1203313986974438E-2</v>
      </c>
      <c r="W18" s="52">
        <f t="shared" si="12"/>
        <v>2.7815310000568888E-3</v>
      </c>
      <c r="X18" s="84">
        <v>0.18179999999999999</v>
      </c>
      <c r="Y18" s="84">
        <v>0.15529999999999999</v>
      </c>
      <c r="Z18" s="80">
        <v>0.3553</v>
      </c>
      <c r="AA18" s="146">
        <v>0.28110000000000002</v>
      </c>
    </row>
    <row r="19" spans="1:27" ht="16" x14ac:dyDescent="0.2">
      <c r="A19" s="73">
        <v>37</v>
      </c>
      <c r="B19" s="45" t="s">
        <v>45</v>
      </c>
      <c r="C19" s="83">
        <v>1994</v>
      </c>
      <c r="D19" s="75">
        <v>2033</v>
      </c>
      <c r="E19" s="52">
        <f t="shared" si="0"/>
        <v>1.9558676028084254E-2</v>
      </c>
      <c r="F19" s="88">
        <v>2026</v>
      </c>
      <c r="G19" s="52">
        <f t="shared" si="1"/>
        <v>3.4550839091806516E-3</v>
      </c>
      <c r="H19" s="90">
        <v>1807</v>
      </c>
      <c r="I19" s="52">
        <f t="shared" si="2"/>
        <v>0.12506917542888765</v>
      </c>
      <c r="J19" s="75">
        <v>16525</v>
      </c>
      <c r="K19" s="88">
        <v>16489</v>
      </c>
      <c r="L19" s="54">
        <f t="shared" si="3"/>
        <v>2.1832736976165929E-3</v>
      </c>
      <c r="M19" s="83">
        <v>16006</v>
      </c>
      <c r="N19" s="54">
        <f t="shared" si="4"/>
        <v>3.2425340497313507E-2</v>
      </c>
      <c r="O19" s="89">
        <v>16522</v>
      </c>
      <c r="P19" s="52">
        <f t="shared" si="5"/>
        <v>1.8157608037767825E-4</v>
      </c>
      <c r="Q19" s="52">
        <f t="shared" si="6"/>
        <v>0.12302571860816944</v>
      </c>
      <c r="R19" s="52">
        <f t="shared" si="7"/>
        <v>0.12092910425131906</v>
      </c>
      <c r="S19" s="52">
        <f t="shared" si="8"/>
        <v>2.0966143568503792E-3</v>
      </c>
      <c r="T19" s="52">
        <f t="shared" si="9"/>
        <v>0.12657753342496564</v>
      </c>
      <c r="U19" s="52">
        <f t="shared" si="10"/>
        <v>-3.5518148167962005E-3</v>
      </c>
      <c r="V19" s="52">
        <f t="shared" si="11"/>
        <v>0.1093693257474882</v>
      </c>
      <c r="W19" s="52">
        <f t="shared" si="12"/>
        <v>1.3656392860681238E-2</v>
      </c>
      <c r="X19" s="72">
        <v>0.13689999999999999</v>
      </c>
      <c r="Y19" s="72">
        <v>0.1197</v>
      </c>
      <c r="Z19" s="80">
        <v>0.37969999999999998</v>
      </c>
      <c r="AA19" s="140">
        <v>0.36749999999999999</v>
      </c>
    </row>
    <row r="20" spans="1:27" ht="16" x14ac:dyDescent="0.2">
      <c r="A20" s="73">
        <v>38</v>
      </c>
      <c r="B20" s="45" t="s">
        <v>46</v>
      </c>
      <c r="C20" s="83">
        <v>2317</v>
      </c>
      <c r="D20" s="75">
        <v>2318</v>
      </c>
      <c r="E20" s="52">
        <f t="shared" si="0"/>
        <v>4.3159257660768235E-4</v>
      </c>
      <c r="F20" s="88">
        <v>2259</v>
      </c>
      <c r="G20" s="52">
        <f t="shared" si="1"/>
        <v>2.6117751217352811E-2</v>
      </c>
      <c r="H20" s="90">
        <v>2330</v>
      </c>
      <c r="I20" s="52">
        <f t="shared" si="2"/>
        <v>-5.1502145922746783E-3</v>
      </c>
      <c r="J20" s="75">
        <v>20960</v>
      </c>
      <c r="K20" s="88">
        <v>20855</v>
      </c>
      <c r="L20" s="54">
        <f t="shared" si="3"/>
        <v>5.0347638456005751E-3</v>
      </c>
      <c r="M20" s="83">
        <v>21811</v>
      </c>
      <c r="N20" s="54">
        <f t="shared" si="4"/>
        <v>-3.9017009765714546E-2</v>
      </c>
      <c r="O20" s="89">
        <v>23025</v>
      </c>
      <c r="P20" s="52">
        <f t="shared" si="5"/>
        <v>-8.968512486427796E-2</v>
      </c>
      <c r="Q20" s="52">
        <f t="shared" si="6"/>
        <v>0.11059160305343511</v>
      </c>
      <c r="R20" s="52">
        <f t="shared" si="7"/>
        <v>0.11110045552625269</v>
      </c>
      <c r="S20" s="52">
        <f t="shared" si="8"/>
        <v>-5.0885247281758084E-4</v>
      </c>
      <c r="T20" s="52">
        <f t="shared" si="9"/>
        <v>0.10357159231580396</v>
      </c>
      <c r="U20" s="52">
        <f t="shared" si="10"/>
        <v>7.0200107376311577E-3</v>
      </c>
      <c r="V20" s="52">
        <f t="shared" si="11"/>
        <v>0.1011943539630836</v>
      </c>
      <c r="W20" s="52">
        <f t="shared" si="12"/>
        <v>9.3972490903515143E-3</v>
      </c>
      <c r="X20" s="84">
        <v>0.1444</v>
      </c>
      <c r="Y20" s="84">
        <v>0.16320000000000001</v>
      </c>
      <c r="Z20" s="80">
        <v>0.33610000000000001</v>
      </c>
      <c r="AA20" s="140">
        <v>0.24890000000000001</v>
      </c>
    </row>
    <row r="21" spans="1:27" ht="16" x14ac:dyDescent="0.2">
      <c r="A21" s="73">
        <v>39</v>
      </c>
      <c r="B21" s="45" t="s">
        <v>47</v>
      </c>
      <c r="C21" s="76">
        <v>5213</v>
      </c>
      <c r="D21" s="75">
        <v>5161</v>
      </c>
      <c r="E21" s="52">
        <f t="shared" si="0"/>
        <v>-9.9750623441396506E-3</v>
      </c>
      <c r="F21" s="88">
        <v>5070</v>
      </c>
      <c r="G21" s="52">
        <f t="shared" si="1"/>
        <v>1.7948717948717947E-2</v>
      </c>
      <c r="H21" s="90">
        <v>4386</v>
      </c>
      <c r="I21" s="52">
        <f t="shared" si="2"/>
        <v>0.1766985864113087</v>
      </c>
      <c r="J21" s="75">
        <v>51802</v>
      </c>
      <c r="K21" s="88">
        <v>51682</v>
      </c>
      <c r="L21" s="54">
        <f t="shared" si="3"/>
        <v>2.3218915676637901E-3</v>
      </c>
      <c r="M21" s="83">
        <v>55697</v>
      </c>
      <c r="N21" s="54">
        <f t="shared" si="4"/>
        <v>-6.9931953247033052E-2</v>
      </c>
      <c r="O21" s="89">
        <v>59181</v>
      </c>
      <c r="P21" s="52">
        <f t="shared" si="5"/>
        <v>-0.124685287507815</v>
      </c>
      <c r="Q21" s="52">
        <f t="shared" si="6"/>
        <v>9.9629357939847882E-2</v>
      </c>
      <c r="R21" s="52">
        <f t="shared" si="7"/>
        <v>0.10086683951859449</v>
      </c>
      <c r="S21" s="52">
        <f t="shared" si="8"/>
        <v>-1.2374815787466048E-3</v>
      </c>
      <c r="T21" s="52">
        <f t="shared" si="9"/>
        <v>9.1028242095624545E-2</v>
      </c>
      <c r="U21" s="52">
        <f t="shared" si="10"/>
        <v>8.6011158442233365E-3</v>
      </c>
      <c r="V21" s="52">
        <f t="shared" si="11"/>
        <v>7.4111623662999948E-2</v>
      </c>
      <c r="W21" s="52">
        <f t="shared" si="12"/>
        <v>2.5517734276847934E-2</v>
      </c>
      <c r="X21" s="84">
        <v>0.14330000000000001</v>
      </c>
      <c r="Y21" s="84">
        <v>0.1736</v>
      </c>
      <c r="Z21" s="80">
        <v>0.5</v>
      </c>
      <c r="AA21" s="140">
        <v>0.47870000000000001</v>
      </c>
    </row>
    <row r="22" spans="1:27" ht="16" x14ac:dyDescent="0.2">
      <c r="A22" s="73">
        <v>40</v>
      </c>
      <c r="B22" s="45" t="s">
        <v>48</v>
      </c>
      <c r="C22" s="83">
        <v>998</v>
      </c>
      <c r="D22" s="75">
        <v>1011</v>
      </c>
      <c r="E22" s="52">
        <f t="shared" si="0"/>
        <v>1.3026052104208416E-2</v>
      </c>
      <c r="F22" s="88">
        <v>977</v>
      </c>
      <c r="G22" s="52">
        <f t="shared" si="1"/>
        <v>3.4800409416581371E-2</v>
      </c>
      <c r="H22" s="90">
        <v>823</v>
      </c>
      <c r="I22" s="52">
        <f t="shared" si="2"/>
        <v>0.22843256379100851</v>
      </c>
      <c r="J22" s="75">
        <v>7700</v>
      </c>
      <c r="K22" s="88">
        <v>7776</v>
      </c>
      <c r="L22" s="54">
        <f t="shared" si="3"/>
        <v>-9.7736625514403298E-3</v>
      </c>
      <c r="M22" s="83">
        <v>7663</v>
      </c>
      <c r="N22" s="54">
        <f t="shared" si="4"/>
        <v>4.8283961894819262E-3</v>
      </c>
      <c r="O22" s="89">
        <v>7434</v>
      </c>
      <c r="P22" s="52">
        <f t="shared" si="5"/>
        <v>3.5781544256120526E-2</v>
      </c>
      <c r="Q22" s="52">
        <f t="shared" si="6"/>
        <v>0.1312987012987013</v>
      </c>
      <c r="R22" s="52">
        <f t="shared" si="7"/>
        <v>0.12834362139917696</v>
      </c>
      <c r="S22" s="52">
        <f t="shared" si="8"/>
        <v>2.9550798995243432E-3</v>
      </c>
      <c r="T22" s="52">
        <f t="shared" si="9"/>
        <v>0.12749575884118491</v>
      </c>
      <c r="U22" s="52">
        <f t="shared" si="10"/>
        <v>3.8029424575163895E-3</v>
      </c>
      <c r="V22" s="52">
        <f t="shared" si="11"/>
        <v>0.11070755986010224</v>
      </c>
      <c r="W22" s="52">
        <f t="shared" si="12"/>
        <v>2.0591141438599067E-2</v>
      </c>
      <c r="X22" s="84">
        <v>0.18920000000000001</v>
      </c>
      <c r="Y22" s="84">
        <v>0.2266</v>
      </c>
      <c r="Z22" s="80">
        <v>0.30480000000000002</v>
      </c>
      <c r="AA22" s="140">
        <v>0.38059999999999999</v>
      </c>
    </row>
    <row r="23" spans="1:27" ht="16" x14ac:dyDescent="0.2">
      <c r="A23" s="73">
        <v>41</v>
      </c>
      <c r="B23" s="45" t="s">
        <v>49</v>
      </c>
      <c r="C23" s="53">
        <v>2260</v>
      </c>
      <c r="D23" s="75">
        <v>2223</v>
      </c>
      <c r="E23" s="52">
        <f t="shared" si="0"/>
        <v>-1.6371681415929203E-2</v>
      </c>
      <c r="F23" s="88">
        <v>2143</v>
      </c>
      <c r="G23" s="52">
        <f t="shared" si="1"/>
        <v>3.7330844610359307E-2</v>
      </c>
      <c r="H23" s="90">
        <v>1877</v>
      </c>
      <c r="I23" s="52">
        <f t="shared" si="2"/>
        <v>0.18433670751198722</v>
      </c>
      <c r="J23" s="75">
        <v>25401</v>
      </c>
      <c r="K23" s="90">
        <v>25482</v>
      </c>
      <c r="L23" s="54">
        <f t="shared" si="3"/>
        <v>-3.1787143866258537E-3</v>
      </c>
      <c r="M23" s="83">
        <v>24963</v>
      </c>
      <c r="N23" s="54">
        <f t="shared" si="4"/>
        <v>1.7545968032688378E-2</v>
      </c>
      <c r="O23" s="89">
        <v>25764</v>
      </c>
      <c r="P23" s="52">
        <f t="shared" si="5"/>
        <v>-1.4089427107591989E-2</v>
      </c>
      <c r="Q23" s="52">
        <f t="shared" si="6"/>
        <v>8.7516239518129202E-2</v>
      </c>
      <c r="R23" s="52">
        <f t="shared" si="7"/>
        <v>8.8690055725610228E-2</v>
      </c>
      <c r="S23" s="52">
        <f t="shared" si="8"/>
        <v>-1.1738162074810266E-3</v>
      </c>
      <c r="T23" s="52">
        <f t="shared" si="9"/>
        <v>8.5847053639386287E-2</v>
      </c>
      <c r="U23" s="52">
        <f t="shared" si="10"/>
        <v>1.6691858787429154E-3</v>
      </c>
      <c r="V23" s="52">
        <f t="shared" si="11"/>
        <v>7.2853594162397145E-2</v>
      </c>
      <c r="W23" s="52">
        <f t="shared" si="12"/>
        <v>1.4662645355732057E-2</v>
      </c>
      <c r="X23" s="84">
        <v>0.22220000000000001</v>
      </c>
      <c r="Y23" s="84">
        <v>0.22770000000000001</v>
      </c>
      <c r="Z23" s="80">
        <v>0.46329999999999999</v>
      </c>
      <c r="AA23" s="140">
        <v>0.47420000000000001</v>
      </c>
    </row>
    <row r="24" spans="1:27" ht="16" x14ac:dyDescent="0.2">
      <c r="A24" s="73">
        <v>42</v>
      </c>
      <c r="B24" s="45" t="s">
        <v>50</v>
      </c>
      <c r="C24" s="83">
        <v>1591</v>
      </c>
      <c r="D24" s="75">
        <v>1628</v>
      </c>
      <c r="E24" s="52">
        <f t="shared" si="0"/>
        <v>2.3255813953488372E-2</v>
      </c>
      <c r="F24" s="88">
        <v>1474</v>
      </c>
      <c r="G24" s="52">
        <f t="shared" si="1"/>
        <v>0.1044776119402985</v>
      </c>
      <c r="H24" s="90">
        <v>1514</v>
      </c>
      <c r="I24" s="52">
        <f t="shared" si="2"/>
        <v>7.5297225891677672E-2</v>
      </c>
      <c r="J24" s="75">
        <v>15294</v>
      </c>
      <c r="K24" s="88">
        <v>15074</v>
      </c>
      <c r="L24" s="54">
        <f t="shared" si="3"/>
        <v>1.4594666312856575E-2</v>
      </c>
      <c r="M24" s="83">
        <v>14623</v>
      </c>
      <c r="N24" s="54">
        <f t="shared" si="4"/>
        <v>4.5886616973261303E-2</v>
      </c>
      <c r="O24" s="89">
        <v>15355</v>
      </c>
      <c r="P24" s="52">
        <f t="shared" si="5"/>
        <v>-3.9726473461413224E-3</v>
      </c>
      <c r="Q24" s="52">
        <f t="shared" si="6"/>
        <v>0.10644697266902053</v>
      </c>
      <c r="R24" s="52">
        <f t="shared" si="7"/>
        <v>0.10554597319888549</v>
      </c>
      <c r="S24" s="52">
        <f t="shared" si="8"/>
        <v>9.0099947013504156E-4</v>
      </c>
      <c r="T24" s="52">
        <f t="shared" si="9"/>
        <v>0.10080010941667236</v>
      </c>
      <c r="U24" s="52">
        <f t="shared" si="10"/>
        <v>5.6468632523481721E-3</v>
      </c>
      <c r="V24" s="52">
        <f t="shared" si="11"/>
        <v>9.8599804623901013E-2</v>
      </c>
      <c r="W24" s="52">
        <f t="shared" si="12"/>
        <v>7.8471680451195208E-3</v>
      </c>
      <c r="X24" s="95">
        <v>0.1389</v>
      </c>
      <c r="Y24" s="95">
        <v>0.15429999999999999</v>
      </c>
      <c r="Z24" s="96">
        <v>0.5504</v>
      </c>
      <c r="AA24" s="147">
        <v>0.52869999999999995</v>
      </c>
    </row>
    <row r="25" spans="1:27" ht="16" x14ac:dyDescent="0.2">
      <c r="A25" s="73">
        <v>43</v>
      </c>
      <c r="B25" s="45" t="s">
        <v>51</v>
      </c>
      <c r="C25" s="97">
        <v>3953</v>
      </c>
      <c r="D25" s="75">
        <v>3876</v>
      </c>
      <c r="E25" s="52">
        <f t="shared" si="0"/>
        <v>-1.9478876802428536E-2</v>
      </c>
      <c r="F25" s="88">
        <v>3456</v>
      </c>
      <c r="G25" s="52">
        <f t="shared" si="1"/>
        <v>0.12152777777777778</v>
      </c>
      <c r="H25" s="90">
        <v>2505</v>
      </c>
      <c r="I25" s="52">
        <f t="shared" si="2"/>
        <v>0.54730538922155691</v>
      </c>
      <c r="J25" s="75">
        <v>33290</v>
      </c>
      <c r="K25" s="98">
        <v>33157</v>
      </c>
      <c r="L25" s="54">
        <f t="shared" si="3"/>
        <v>4.0112193503634222E-3</v>
      </c>
      <c r="M25" s="83">
        <v>33516</v>
      </c>
      <c r="N25" s="54">
        <f t="shared" si="4"/>
        <v>-6.7430480964315552E-3</v>
      </c>
      <c r="O25" s="89">
        <v>31763</v>
      </c>
      <c r="P25" s="52">
        <f t="shared" si="5"/>
        <v>4.8074804017252781E-2</v>
      </c>
      <c r="Q25" s="52">
        <f t="shared" si="6"/>
        <v>0.11643136076899969</v>
      </c>
      <c r="R25" s="52">
        <f t="shared" si="7"/>
        <v>0.11922067738335797</v>
      </c>
      <c r="S25" s="52">
        <f t="shared" si="8"/>
        <v>-2.7893166143582726E-3</v>
      </c>
      <c r="T25" s="52">
        <f t="shared" si="9"/>
        <v>0.10311493018259936</v>
      </c>
      <c r="U25" s="52">
        <f t="shared" si="10"/>
        <v>1.3316430586400335E-2</v>
      </c>
      <c r="V25" s="52">
        <f t="shared" si="11"/>
        <v>7.8865346472310555E-2</v>
      </c>
      <c r="W25" s="52">
        <f t="shared" si="12"/>
        <v>3.756601429668914E-2</v>
      </c>
      <c r="X25" s="84">
        <v>0.21990000000000001</v>
      </c>
      <c r="Y25" s="84">
        <v>0.22559999999999999</v>
      </c>
      <c r="Z25" s="80">
        <v>0.27460000000000001</v>
      </c>
      <c r="AA25" s="140">
        <v>0.29370000000000002</v>
      </c>
    </row>
    <row r="26" spans="1:27" ht="16" x14ac:dyDescent="0.2">
      <c r="A26" s="73">
        <v>44</v>
      </c>
      <c r="B26" s="45" t="s">
        <v>52</v>
      </c>
      <c r="C26" s="83">
        <v>2499</v>
      </c>
      <c r="D26" s="75">
        <v>2545</v>
      </c>
      <c r="E26" s="52">
        <f t="shared" si="0"/>
        <v>1.8407362945178071E-2</v>
      </c>
      <c r="F26" s="88">
        <v>2505</v>
      </c>
      <c r="G26" s="52">
        <f t="shared" si="1"/>
        <v>1.5968063872255488E-2</v>
      </c>
      <c r="H26" s="90">
        <v>2146</v>
      </c>
      <c r="I26" s="52">
        <f t="shared" si="2"/>
        <v>0.1859273066169618</v>
      </c>
      <c r="J26" s="75">
        <v>15954</v>
      </c>
      <c r="K26" s="88">
        <v>15994</v>
      </c>
      <c r="L26" s="54">
        <f t="shared" si="3"/>
        <v>-2.5009378516943855E-3</v>
      </c>
      <c r="M26" s="83">
        <v>15767</v>
      </c>
      <c r="N26" s="54">
        <f t="shared" si="4"/>
        <v>1.186021437178918E-2</v>
      </c>
      <c r="O26" s="89">
        <v>16917</v>
      </c>
      <c r="P26" s="52">
        <f t="shared" si="5"/>
        <v>-5.6924986699769461E-2</v>
      </c>
      <c r="Q26" s="52">
        <f t="shared" si="6"/>
        <v>0.15952112322928419</v>
      </c>
      <c r="R26" s="52">
        <f t="shared" si="7"/>
        <v>0.15624609228460673</v>
      </c>
      <c r="S26" s="52">
        <f t="shared" si="8"/>
        <v>3.2750309446774595E-3</v>
      </c>
      <c r="T26" s="52">
        <f t="shared" si="9"/>
        <v>0.15887613369696202</v>
      </c>
      <c r="U26" s="52">
        <f t="shared" si="10"/>
        <v>6.4498953232217104E-4</v>
      </c>
      <c r="V26" s="52">
        <f t="shared" si="11"/>
        <v>0.12685464325826093</v>
      </c>
      <c r="W26" s="52">
        <f t="shared" si="12"/>
        <v>3.266647997102326E-2</v>
      </c>
      <c r="X26" s="95">
        <v>0.1368</v>
      </c>
      <c r="Y26" s="95">
        <v>0.16189999999999999</v>
      </c>
      <c r="Z26" s="80">
        <v>0.38429999999999997</v>
      </c>
      <c r="AA26" s="140">
        <v>0.34210000000000002</v>
      </c>
    </row>
    <row r="27" spans="1:27" ht="16" x14ac:dyDescent="0.2">
      <c r="A27" s="73">
        <v>45</v>
      </c>
      <c r="B27" s="45" t="s">
        <v>53</v>
      </c>
      <c r="C27" s="83">
        <v>1040</v>
      </c>
      <c r="D27" s="75">
        <v>1027</v>
      </c>
      <c r="E27" s="52">
        <f t="shared" si="0"/>
        <v>-1.2500000000000001E-2</v>
      </c>
      <c r="F27" s="88">
        <v>938</v>
      </c>
      <c r="G27" s="52">
        <f t="shared" si="1"/>
        <v>9.4882729211087424E-2</v>
      </c>
      <c r="H27" s="90">
        <v>858</v>
      </c>
      <c r="I27" s="52">
        <f t="shared" si="2"/>
        <v>0.19696969696969696</v>
      </c>
      <c r="J27" s="75">
        <v>7332</v>
      </c>
      <c r="K27" s="88">
        <v>7343</v>
      </c>
      <c r="L27" s="54">
        <f t="shared" si="3"/>
        <v>-1.4980253302464932E-3</v>
      </c>
      <c r="M27" s="83">
        <v>7131</v>
      </c>
      <c r="N27" s="54">
        <f t="shared" si="4"/>
        <v>2.8186790071518721E-2</v>
      </c>
      <c r="O27" s="89">
        <v>6890</v>
      </c>
      <c r="P27" s="52">
        <f t="shared" si="5"/>
        <v>6.4150943396226415E-2</v>
      </c>
      <c r="Q27" s="52">
        <f t="shared" si="6"/>
        <v>0.14007092198581561</v>
      </c>
      <c r="R27" s="52">
        <f t="shared" si="7"/>
        <v>0.14163148576875936</v>
      </c>
      <c r="S27" s="52">
        <f t="shared" si="8"/>
        <v>-1.5605637829437524E-3</v>
      </c>
      <c r="T27" s="52">
        <f t="shared" si="9"/>
        <v>0.13153835366708735</v>
      </c>
      <c r="U27" s="52">
        <f t="shared" si="10"/>
        <v>8.5325683187282564E-3</v>
      </c>
      <c r="V27" s="52">
        <f t="shared" si="11"/>
        <v>0.12452830188679245</v>
      </c>
      <c r="W27" s="52">
        <f t="shared" si="12"/>
        <v>1.5542620099023158E-2</v>
      </c>
      <c r="X27" s="84">
        <v>8.8599999999999998E-2</v>
      </c>
      <c r="Y27" s="84">
        <v>6.13E-2</v>
      </c>
      <c r="Z27" s="80">
        <v>0.29249999999999998</v>
      </c>
      <c r="AA27" s="140">
        <v>0.38479999999999998</v>
      </c>
    </row>
    <row r="28" spans="1:27" ht="16" x14ac:dyDescent="0.2">
      <c r="A28" s="73">
        <v>46</v>
      </c>
      <c r="B28" s="45" t="s">
        <v>10</v>
      </c>
      <c r="C28" s="99"/>
      <c r="D28" s="99"/>
      <c r="E28" s="52"/>
      <c r="F28" s="55"/>
      <c r="G28" s="52"/>
      <c r="H28" s="55"/>
      <c r="I28" s="52"/>
      <c r="J28" s="55"/>
      <c r="K28" s="55"/>
      <c r="L28" s="54"/>
      <c r="M28" s="55"/>
      <c r="N28" s="54"/>
      <c r="O28" s="55"/>
      <c r="P28" s="52"/>
      <c r="Q28" s="52"/>
      <c r="R28" s="52"/>
      <c r="S28" s="52"/>
      <c r="T28" s="52"/>
      <c r="U28" s="52"/>
      <c r="V28" s="52"/>
      <c r="W28" s="52"/>
      <c r="X28" s="84"/>
      <c r="Y28" s="84"/>
      <c r="Z28" s="80"/>
      <c r="AA28" s="141"/>
    </row>
    <row r="29" spans="1:27" ht="17" x14ac:dyDescent="0.2">
      <c r="A29" s="73">
        <v>47</v>
      </c>
      <c r="B29" s="45" t="s">
        <v>54</v>
      </c>
      <c r="C29" s="83">
        <v>156</v>
      </c>
      <c r="D29" s="75">
        <v>164</v>
      </c>
      <c r="E29" s="52">
        <f t="shared" si="0"/>
        <v>5.128205128205128E-2</v>
      </c>
      <c r="F29" s="88">
        <v>76</v>
      </c>
      <c r="G29" s="52">
        <f t="shared" si="1"/>
        <v>1.1578947368421053</v>
      </c>
      <c r="H29" s="88"/>
      <c r="I29" s="54" t="s">
        <v>85</v>
      </c>
      <c r="J29" s="75">
        <v>2290</v>
      </c>
      <c r="K29" s="88">
        <v>2207</v>
      </c>
      <c r="L29" s="54">
        <f t="shared" si="3"/>
        <v>3.7607612143180785E-2</v>
      </c>
      <c r="M29" s="83">
        <v>2102</v>
      </c>
      <c r="N29" s="54">
        <f t="shared" si="4"/>
        <v>8.9438629876308282E-2</v>
      </c>
      <c r="O29" s="83"/>
      <c r="P29" s="52" t="e">
        <f t="shared" si="5"/>
        <v>#DIV/0!</v>
      </c>
      <c r="Q29" s="52">
        <f t="shared" si="6"/>
        <v>7.1615720524017462E-2</v>
      </c>
      <c r="R29" s="52">
        <f t="shared" si="7"/>
        <v>7.0684186678749428E-2</v>
      </c>
      <c r="S29" s="52">
        <f t="shared" si="8"/>
        <v>9.315338452680344E-4</v>
      </c>
      <c r="T29" s="52">
        <f t="shared" si="9"/>
        <v>3.6156041864890583E-2</v>
      </c>
      <c r="U29" s="52">
        <f t="shared" si="10"/>
        <v>3.5459678659126879E-2</v>
      </c>
      <c r="V29" s="52"/>
      <c r="W29" s="52"/>
      <c r="X29" s="100"/>
      <c r="Y29" s="100"/>
      <c r="Z29" s="92"/>
      <c r="AA29" s="142"/>
    </row>
    <row r="30" spans="1:27" ht="17" x14ac:dyDescent="0.2">
      <c r="A30" s="81">
        <v>48</v>
      </c>
      <c r="B30" s="59" t="s">
        <v>55</v>
      </c>
      <c r="C30" s="101">
        <v>1031</v>
      </c>
      <c r="D30" s="61">
        <v>1087</v>
      </c>
      <c r="E30" s="56">
        <f t="shared" si="0"/>
        <v>5.4316197866149371E-2</v>
      </c>
      <c r="F30" s="68" t="s">
        <v>85</v>
      </c>
      <c r="G30" s="56" t="e">
        <f t="shared" si="1"/>
        <v>#VALUE!</v>
      </c>
      <c r="H30" s="70">
        <v>320</v>
      </c>
      <c r="I30" s="56">
        <f t="shared" si="2"/>
        <v>2.3968750000000001</v>
      </c>
      <c r="J30" s="61">
        <v>5131</v>
      </c>
      <c r="K30" s="68">
        <v>5007</v>
      </c>
      <c r="L30" s="57">
        <f t="shared" si="3"/>
        <v>2.476532854004394E-2</v>
      </c>
      <c r="M30" s="63">
        <v>4480</v>
      </c>
      <c r="N30" s="57">
        <f t="shared" si="4"/>
        <v>0.14531250000000001</v>
      </c>
      <c r="O30" s="69">
        <v>4210</v>
      </c>
      <c r="P30" s="56">
        <f t="shared" si="5"/>
        <v>0.21876484560570073</v>
      </c>
      <c r="Q30" s="56">
        <f t="shared" si="6"/>
        <v>0.2118495419996102</v>
      </c>
      <c r="R30" s="56">
        <f t="shared" si="7"/>
        <v>0.20591172358697823</v>
      </c>
      <c r="S30" s="56">
        <f t="shared" si="8"/>
        <v>5.9378184126319677E-3</v>
      </c>
      <c r="T30" s="56" t="e">
        <f t="shared" si="9"/>
        <v>#VALUE!</v>
      </c>
      <c r="U30" s="56" t="e">
        <f t="shared" si="10"/>
        <v>#VALUE!</v>
      </c>
      <c r="V30" s="56">
        <f t="shared" si="11"/>
        <v>7.6009501187648459E-2</v>
      </c>
      <c r="W30" s="56">
        <f t="shared" si="12"/>
        <v>0.13584004081196174</v>
      </c>
      <c r="X30" s="102"/>
      <c r="Y30" s="102"/>
      <c r="Z30" s="65">
        <v>0.47870000000000001</v>
      </c>
      <c r="AA30" s="143">
        <v>0.57999999999999996</v>
      </c>
    </row>
    <row r="31" spans="1:27" ht="16" x14ac:dyDescent="0.2">
      <c r="A31" s="73">
        <v>49</v>
      </c>
      <c r="B31" s="45" t="s">
        <v>13</v>
      </c>
      <c r="C31" s="103"/>
      <c r="D31" s="103"/>
      <c r="E31" s="52"/>
      <c r="F31" s="55"/>
      <c r="G31" s="52"/>
      <c r="H31" s="55"/>
      <c r="I31" s="52"/>
      <c r="J31" s="55"/>
      <c r="K31" s="55"/>
      <c r="L31" s="54"/>
      <c r="M31" s="55"/>
      <c r="N31" s="54"/>
      <c r="O31" s="55"/>
      <c r="P31" s="52"/>
      <c r="Q31" s="52"/>
      <c r="R31" s="52"/>
      <c r="S31" s="52"/>
      <c r="T31" s="52"/>
      <c r="U31" s="52"/>
      <c r="V31" s="52"/>
      <c r="W31" s="52"/>
      <c r="X31" s="84"/>
      <c r="Y31" s="84"/>
      <c r="Z31" s="80"/>
      <c r="AA31" s="141"/>
    </row>
    <row r="32" spans="1:27" ht="16" x14ac:dyDescent="0.2">
      <c r="A32" s="73">
        <v>50</v>
      </c>
      <c r="B32" s="45" t="s">
        <v>56</v>
      </c>
      <c r="C32" s="83">
        <v>12</v>
      </c>
      <c r="D32" s="75">
        <v>5</v>
      </c>
      <c r="E32" s="52">
        <f t="shared" si="0"/>
        <v>-0.58333333333333337</v>
      </c>
      <c r="F32" s="88">
        <v>40</v>
      </c>
      <c r="G32" s="52">
        <f t="shared" si="1"/>
        <v>-0.875</v>
      </c>
      <c r="H32" s="90">
        <v>16</v>
      </c>
      <c r="I32" s="52">
        <f t="shared" si="2"/>
        <v>-0.6875</v>
      </c>
      <c r="J32" s="75">
        <v>476</v>
      </c>
      <c r="K32" s="88">
        <v>544</v>
      </c>
      <c r="L32" s="54">
        <f t="shared" si="3"/>
        <v>-0.125</v>
      </c>
      <c r="M32" s="83">
        <v>616</v>
      </c>
      <c r="N32" s="54">
        <f t="shared" si="4"/>
        <v>-0.22727272727272727</v>
      </c>
      <c r="O32" s="89">
        <v>746</v>
      </c>
      <c r="P32" s="52">
        <f t="shared" si="5"/>
        <v>-0.36193029490616624</v>
      </c>
      <c r="Q32" s="52">
        <f t="shared" si="6"/>
        <v>1.050420168067227E-2</v>
      </c>
      <c r="R32" s="52">
        <f t="shared" si="7"/>
        <v>2.2058823529411766E-2</v>
      </c>
      <c r="S32" s="52">
        <f t="shared" si="8"/>
        <v>-1.1554621848739496E-2</v>
      </c>
      <c r="T32" s="52">
        <f t="shared" si="9"/>
        <v>6.4935064935064929E-2</v>
      </c>
      <c r="U32" s="52">
        <f t="shared" si="10"/>
        <v>-5.4430863254392656E-2</v>
      </c>
      <c r="V32" s="52">
        <f t="shared" si="11"/>
        <v>2.1447721179624665E-2</v>
      </c>
      <c r="W32" s="52">
        <f t="shared" si="12"/>
        <v>-1.0943519498952396E-2</v>
      </c>
      <c r="X32" s="100"/>
      <c r="Y32" s="54"/>
      <c r="Z32" s="92"/>
      <c r="AA32" s="142"/>
    </row>
    <row r="33" spans="1:27" ht="16" x14ac:dyDescent="0.2">
      <c r="A33" s="73">
        <v>51</v>
      </c>
      <c r="B33" s="45" t="s">
        <v>5</v>
      </c>
      <c r="C33" s="99"/>
      <c r="D33" s="99"/>
      <c r="E33" s="52"/>
      <c r="F33" s="55"/>
      <c r="G33" s="52"/>
      <c r="H33" s="55"/>
      <c r="I33" s="52"/>
      <c r="J33" s="55"/>
      <c r="K33" s="55"/>
      <c r="L33" s="54"/>
      <c r="M33" s="55"/>
      <c r="N33" s="54"/>
      <c r="O33" s="55"/>
      <c r="P33" s="52"/>
      <c r="Q33" s="52"/>
      <c r="R33" s="52"/>
      <c r="S33" s="52"/>
      <c r="T33" s="52"/>
      <c r="U33" s="52"/>
      <c r="V33" s="52"/>
      <c r="W33" s="52"/>
      <c r="X33" s="84"/>
      <c r="Y33" s="84"/>
      <c r="Z33" s="80"/>
      <c r="AA33" s="141"/>
    </row>
    <row r="34" spans="1:27" ht="16" x14ac:dyDescent="0.2">
      <c r="A34" s="73">
        <v>52</v>
      </c>
      <c r="B34" s="45" t="s">
        <v>57</v>
      </c>
      <c r="C34" s="83">
        <v>222</v>
      </c>
      <c r="D34" s="75">
        <v>230</v>
      </c>
      <c r="E34" s="52">
        <f t="shared" si="0"/>
        <v>3.6036036036036036E-2</v>
      </c>
      <c r="F34" s="88">
        <v>176</v>
      </c>
      <c r="G34" s="52">
        <f t="shared" si="1"/>
        <v>0.30681818181818182</v>
      </c>
      <c r="H34" s="90">
        <v>168</v>
      </c>
      <c r="I34" s="52">
        <f t="shared" si="2"/>
        <v>0.36904761904761907</v>
      </c>
      <c r="J34" s="75">
        <v>1963</v>
      </c>
      <c r="K34" s="88">
        <v>1983</v>
      </c>
      <c r="L34" s="54">
        <f t="shared" si="3"/>
        <v>-1.0085728693898134E-2</v>
      </c>
      <c r="M34" s="83">
        <v>2103</v>
      </c>
      <c r="N34" s="54">
        <f t="shared" si="4"/>
        <v>-6.6571564431764152E-2</v>
      </c>
      <c r="O34" s="89">
        <v>2557</v>
      </c>
      <c r="P34" s="52">
        <f t="shared" si="5"/>
        <v>-0.23230348064137663</v>
      </c>
      <c r="Q34" s="52">
        <f t="shared" si="6"/>
        <v>0.11716760061130922</v>
      </c>
      <c r="R34" s="52">
        <f t="shared" si="7"/>
        <v>0.11195158850226929</v>
      </c>
      <c r="S34" s="52">
        <f t="shared" si="8"/>
        <v>5.2160121090399358E-3</v>
      </c>
      <c r="T34" s="52">
        <f t="shared" si="9"/>
        <v>8.3689966714217787E-2</v>
      </c>
      <c r="U34" s="52">
        <f t="shared" si="10"/>
        <v>3.3477633897091436E-2</v>
      </c>
      <c r="V34" s="52">
        <f t="shared" si="11"/>
        <v>6.5701994524833787E-2</v>
      </c>
      <c r="W34" s="52">
        <f t="shared" si="12"/>
        <v>5.1465606086475435E-2</v>
      </c>
      <c r="X34" s="84">
        <v>0.375</v>
      </c>
      <c r="Y34" s="84">
        <v>0.23619999999999999</v>
      </c>
      <c r="Z34" s="79">
        <v>0.23080000000000001</v>
      </c>
      <c r="AA34" s="142" t="s">
        <v>85</v>
      </c>
    </row>
    <row r="35" spans="1:27" ht="17" x14ac:dyDescent="0.2">
      <c r="A35" s="73">
        <v>53</v>
      </c>
      <c r="B35" s="45" t="s">
        <v>6</v>
      </c>
      <c r="C35" s="83">
        <v>25</v>
      </c>
      <c r="D35" s="75">
        <v>18</v>
      </c>
      <c r="E35" s="52">
        <f t="shared" si="0"/>
        <v>-0.28000000000000003</v>
      </c>
      <c r="F35" s="104" t="s">
        <v>110</v>
      </c>
      <c r="G35" s="52"/>
      <c r="H35" s="104" t="s">
        <v>110</v>
      </c>
      <c r="I35" s="52"/>
      <c r="J35" s="75">
        <v>2417</v>
      </c>
      <c r="K35" s="88">
        <v>2339</v>
      </c>
      <c r="L35" s="54">
        <f t="shared" si="3"/>
        <v>3.3347584437793926E-2</v>
      </c>
      <c r="M35" s="105">
        <v>2443</v>
      </c>
      <c r="N35" s="54">
        <f t="shared" si="4"/>
        <v>-1.0642652476463364E-2</v>
      </c>
      <c r="O35" s="105">
        <v>2883</v>
      </c>
      <c r="P35" s="52">
        <f t="shared" si="5"/>
        <v>-0.16163718348942074</v>
      </c>
      <c r="Q35" s="52">
        <f t="shared" si="6"/>
        <v>7.4472486553578817E-3</v>
      </c>
      <c r="R35" s="52">
        <f t="shared" si="7"/>
        <v>1.0688328345446772E-2</v>
      </c>
      <c r="S35" s="52">
        <f t="shared" si="8"/>
        <v>-3.2410796900888906E-3</v>
      </c>
      <c r="T35" s="52"/>
      <c r="U35" s="52"/>
      <c r="V35" s="52"/>
      <c r="W35" s="52"/>
      <c r="X35" s="84"/>
      <c r="Y35" s="84"/>
      <c r="Z35" s="80"/>
      <c r="AA35" s="141"/>
    </row>
    <row r="36" spans="1:27" ht="16" x14ac:dyDescent="0.2">
      <c r="A36" s="73">
        <v>54</v>
      </c>
      <c r="B36" s="45" t="s">
        <v>58</v>
      </c>
      <c r="C36" s="83">
        <v>186</v>
      </c>
      <c r="D36" s="75">
        <v>185</v>
      </c>
      <c r="E36" s="52">
        <f t="shared" si="0"/>
        <v>-5.3763440860215058E-3</v>
      </c>
      <c r="F36" s="88">
        <v>193</v>
      </c>
      <c r="G36" s="52">
        <f t="shared" si="1"/>
        <v>-4.145077720207254E-2</v>
      </c>
      <c r="H36" s="90">
        <v>154</v>
      </c>
      <c r="I36" s="52">
        <f t="shared" si="2"/>
        <v>0.20129870129870131</v>
      </c>
      <c r="J36" s="75">
        <v>1966</v>
      </c>
      <c r="K36" s="88">
        <v>1983</v>
      </c>
      <c r="L36" s="54">
        <f t="shared" si="3"/>
        <v>-8.5728693898134145E-3</v>
      </c>
      <c r="M36" s="83">
        <v>2184</v>
      </c>
      <c r="N36" s="54">
        <f t="shared" si="4"/>
        <v>-9.9816849816849823E-2</v>
      </c>
      <c r="O36" s="89">
        <v>2505</v>
      </c>
      <c r="P36" s="52">
        <f t="shared" si="5"/>
        <v>-0.21516966067864271</v>
      </c>
      <c r="Q36" s="52">
        <f t="shared" si="6"/>
        <v>9.409969481180061E-2</v>
      </c>
      <c r="R36" s="52">
        <f t="shared" si="7"/>
        <v>9.3797276853252648E-2</v>
      </c>
      <c r="S36" s="52">
        <f t="shared" si="8"/>
        <v>3.024179585479625E-4</v>
      </c>
      <c r="T36" s="52">
        <f t="shared" si="9"/>
        <v>8.8369963369963375E-2</v>
      </c>
      <c r="U36" s="52">
        <f t="shared" si="10"/>
        <v>5.7297314418372353E-3</v>
      </c>
      <c r="V36" s="52">
        <f t="shared" si="11"/>
        <v>6.1477045908183633E-2</v>
      </c>
      <c r="W36" s="52">
        <f t="shared" si="12"/>
        <v>3.2622648903616977E-2</v>
      </c>
      <c r="X36" s="84">
        <v>0.21879999999999999</v>
      </c>
      <c r="Y36" s="84">
        <v>0.15290000000000001</v>
      </c>
      <c r="Z36" s="92"/>
      <c r="AA36" s="142"/>
    </row>
    <row r="37" spans="1:27" ht="16" x14ac:dyDescent="0.2">
      <c r="A37" s="73">
        <v>57</v>
      </c>
      <c r="B37" s="45" t="s">
        <v>59</v>
      </c>
      <c r="C37" s="83">
        <v>1128</v>
      </c>
      <c r="D37" s="75">
        <v>1155</v>
      </c>
      <c r="E37" s="52">
        <f t="shared" si="0"/>
        <v>2.3936170212765957E-2</v>
      </c>
      <c r="F37" s="88">
        <v>925</v>
      </c>
      <c r="G37" s="52">
        <f t="shared" si="1"/>
        <v>0.24864864864864866</v>
      </c>
      <c r="H37" s="90">
        <v>718</v>
      </c>
      <c r="I37" s="52">
        <f t="shared" si="2"/>
        <v>0.60863509749303624</v>
      </c>
      <c r="J37" s="75">
        <v>13291</v>
      </c>
      <c r="K37" s="88">
        <v>13240</v>
      </c>
      <c r="L37" s="54">
        <f t="shared" si="3"/>
        <v>3.8519637462235651E-3</v>
      </c>
      <c r="M37" s="83">
        <v>13012</v>
      </c>
      <c r="N37" s="54">
        <f t="shared" si="4"/>
        <v>2.144174608054104E-2</v>
      </c>
      <c r="O37" s="89">
        <v>14975</v>
      </c>
      <c r="P37" s="52">
        <f t="shared" si="5"/>
        <v>-0.11245409015025042</v>
      </c>
      <c r="Q37" s="52">
        <f t="shared" si="6"/>
        <v>8.6900910390489805E-2</v>
      </c>
      <c r="R37" s="52">
        <f t="shared" si="7"/>
        <v>8.5196374622356491E-2</v>
      </c>
      <c r="S37" s="52">
        <f t="shared" si="8"/>
        <v>1.704535768133314E-3</v>
      </c>
      <c r="T37" s="52">
        <f t="shared" si="9"/>
        <v>7.1088226252689818E-2</v>
      </c>
      <c r="U37" s="52">
        <f t="shared" si="10"/>
        <v>1.5812684137799987E-2</v>
      </c>
      <c r="V37" s="52">
        <f t="shared" si="11"/>
        <v>4.79465776293823E-2</v>
      </c>
      <c r="W37" s="52">
        <f t="shared" si="12"/>
        <v>3.8954332761107505E-2</v>
      </c>
      <c r="X37" s="84">
        <v>0.2276</v>
      </c>
      <c r="Y37" s="84">
        <v>0.2135</v>
      </c>
      <c r="Z37" s="80">
        <v>0.2581</v>
      </c>
      <c r="AA37" s="140">
        <v>0.20730000000000001</v>
      </c>
    </row>
    <row r="38" spans="1:27" ht="16" x14ac:dyDescent="0.2">
      <c r="A38" s="73">
        <v>58</v>
      </c>
      <c r="B38" s="45" t="s">
        <v>60</v>
      </c>
      <c r="C38" s="83">
        <v>203</v>
      </c>
      <c r="D38" s="75">
        <v>210</v>
      </c>
      <c r="E38" s="52">
        <f t="shared" si="0"/>
        <v>3.4482758620689655E-2</v>
      </c>
      <c r="F38" s="88">
        <v>178</v>
      </c>
      <c r="G38" s="52">
        <f t="shared" si="1"/>
        <v>0.1797752808988764</v>
      </c>
      <c r="H38" s="90">
        <v>168</v>
      </c>
      <c r="I38" s="52">
        <f t="shared" si="2"/>
        <v>0.25</v>
      </c>
      <c r="J38" s="75">
        <v>2350</v>
      </c>
      <c r="K38" s="88">
        <v>2277</v>
      </c>
      <c r="L38" s="54">
        <f t="shared" si="3"/>
        <v>3.2059727711901624E-2</v>
      </c>
      <c r="M38" s="83">
        <v>2397</v>
      </c>
      <c r="N38" s="54">
        <f t="shared" si="4"/>
        <v>-1.9607843137254902E-2</v>
      </c>
      <c r="O38" s="89">
        <v>2739</v>
      </c>
      <c r="P38" s="52">
        <f t="shared" si="5"/>
        <v>-0.14202263599853962</v>
      </c>
      <c r="Q38" s="52">
        <f t="shared" si="6"/>
        <v>8.9361702127659579E-2</v>
      </c>
      <c r="R38" s="52">
        <f t="shared" si="7"/>
        <v>8.9152393500219584E-2</v>
      </c>
      <c r="S38" s="52">
        <f t="shared" si="8"/>
        <v>2.0930862743999412E-4</v>
      </c>
      <c r="T38" s="52">
        <f t="shared" si="9"/>
        <v>7.4259491030454733E-2</v>
      </c>
      <c r="U38" s="52">
        <f t="shared" si="10"/>
        <v>1.5102211097204846E-2</v>
      </c>
      <c r="V38" s="52">
        <f t="shared" si="11"/>
        <v>6.1336254107338443E-2</v>
      </c>
      <c r="W38" s="52">
        <f t="shared" si="12"/>
        <v>2.8025448020321135E-2</v>
      </c>
      <c r="X38" s="84">
        <v>-0.1333</v>
      </c>
      <c r="Y38" s="84">
        <v>0.1608</v>
      </c>
      <c r="Z38" s="80"/>
      <c r="AA38" s="142"/>
    </row>
    <row r="39" spans="1:27" ht="16" x14ac:dyDescent="0.2">
      <c r="A39" s="73">
        <v>59</v>
      </c>
      <c r="B39" s="45" t="s">
        <v>61</v>
      </c>
      <c r="C39" s="83">
        <v>316</v>
      </c>
      <c r="D39" s="75">
        <v>286</v>
      </c>
      <c r="E39" s="52">
        <f t="shared" si="0"/>
        <v>-9.49367088607595E-2</v>
      </c>
      <c r="F39" s="88">
        <v>393</v>
      </c>
      <c r="G39" s="52">
        <f t="shared" si="1"/>
        <v>-0.27226463104325699</v>
      </c>
      <c r="H39" s="90">
        <v>401</v>
      </c>
      <c r="I39" s="52">
        <f t="shared" si="2"/>
        <v>-0.28678304239401498</v>
      </c>
      <c r="J39" s="75">
        <v>3585</v>
      </c>
      <c r="K39" s="88">
        <v>3488</v>
      </c>
      <c r="L39" s="54">
        <f t="shared" si="3"/>
        <v>2.7809633027522936E-2</v>
      </c>
      <c r="M39" s="83">
        <v>3646</v>
      </c>
      <c r="N39" s="54">
        <f t="shared" si="4"/>
        <v>-1.6730663741086123E-2</v>
      </c>
      <c r="O39" s="89">
        <v>4294</v>
      </c>
      <c r="P39" s="52">
        <f t="shared" si="5"/>
        <v>-0.16511411271541687</v>
      </c>
      <c r="Q39" s="52">
        <f t="shared" si="6"/>
        <v>7.9776847977684792E-2</v>
      </c>
      <c r="R39" s="52">
        <f t="shared" si="7"/>
        <v>9.0596330275229356E-2</v>
      </c>
      <c r="S39" s="52">
        <f t="shared" si="8"/>
        <v>-1.0819482297544564E-2</v>
      </c>
      <c r="T39" s="52">
        <f t="shared" si="9"/>
        <v>0.10778935820076796</v>
      </c>
      <c r="U39" s="52">
        <f t="shared" si="10"/>
        <v>-2.8012510223083167E-2</v>
      </c>
      <c r="V39" s="52">
        <f t="shared" si="11"/>
        <v>9.3386120167675821E-2</v>
      </c>
      <c r="W39" s="52">
        <f t="shared" si="12"/>
        <v>-1.3609272189991029E-2</v>
      </c>
      <c r="X39" s="84">
        <v>0.54349999999999998</v>
      </c>
      <c r="Y39" s="84">
        <v>0.43030000000000002</v>
      </c>
      <c r="Z39" s="80">
        <v>0.37930000000000003</v>
      </c>
      <c r="AA39" s="140">
        <v>0.46239999999999998</v>
      </c>
    </row>
    <row r="40" spans="1:27" ht="17" x14ac:dyDescent="0.2">
      <c r="A40" s="73">
        <v>60</v>
      </c>
      <c r="B40" s="45" t="s">
        <v>62</v>
      </c>
      <c r="C40" s="83">
        <v>389</v>
      </c>
      <c r="D40" s="75">
        <v>407</v>
      </c>
      <c r="E40" s="52">
        <f t="shared" si="0"/>
        <v>4.6272493573264781E-2</v>
      </c>
      <c r="F40" s="88">
        <v>343</v>
      </c>
      <c r="G40" s="52">
        <f t="shared" si="1"/>
        <v>0.18658892128279883</v>
      </c>
      <c r="H40" s="90" t="s">
        <v>85</v>
      </c>
      <c r="I40" s="52" t="e">
        <f t="shared" si="2"/>
        <v>#VALUE!</v>
      </c>
      <c r="J40" s="75">
        <v>6399</v>
      </c>
      <c r="K40" s="88">
        <v>6359</v>
      </c>
      <c r="L40" s="54">
        <f t="shared" si="3"/>
        <v>6.2902972165434813E-3</v>
      </c>
      <c r="M40" s="83">
        <v>5927</v>
      </c>
      <c r="N40" s="54">
        <f t="shared" si="4"/>
        <v>7.9635566053652782E-2</v>
      </c>
      <c r="O40" s="89">
        <v>6013</v>
      </c>
      <c r="P40" s="52">
        <f t="shared" si="5"/>
        <v>6.4194245800765007E-2</v>
      </c>
      <c r="Q40" s="52">
        <f t="shared" si="6"/>
        <v>6.3603688076261919E-2</v>
      </c>
      <c r="R40" s="52">
        <f t="shared" si="7"/>
        <v>6.1173140430885356E-2</v>
      </c>
      <c r="S40" s="52">
        <f t="shared" si="8"/>
        <v>2.4305476453765629E-3</v>
      </c>
      <c r="T40" s="52">
        <f t="shared" si="9"/>
        <v>5.7870760924582418E-2</v>
      </c>
      <c r="U40" s="52">
        <f t="shared" si="10"/>
        <v>5.7329271516795011E-3</v>
      </c>
      <c r="V40" s="52" t="e">
        <f t="shared" si="11"/>
        <v>#VALUE!</v>
      </c>
      <c r="W40" s="52" t="e">
        <f t="shared" si="12"/>
        <v>#VALUE!</v>
      </c>
      <c r="X40" s="84">
        <v>0.2</v>
      </c>
      <c r="Y40" s="84">
        <v>0.22220000000000001</v>
      </c>
      <c r="Z40" s="80">
        <v>0.18179999999999999</v>
      </c>
      <c r="AA40" s="140">
        <v>0.47960000000000003</v>
      </c>
    </row>
    <row r="41" spans="1:27" ht="16" x14ac:dyDescent="0.2">
      <c r="A41" s="73">
        <v>61</v>
      </c>
      <c r="B41" s="45" t="s">
        <v>63</v>
      </c>
      <c r="C41" s="93">
        <v>3867</v>
      </c>
      <c r="D41" s="75">
        <v>3892</v>
      </c>
      <c r="E41" s="52">
        <f t="shared" si="0"/>
        <v>6.4649599172485134E-3</v>
      </c>
      <c r="F41" s="88">
        <v>3607</v>
      </c>
      <c r="G41" s="52">
        <f t="shared" si="1"/>
        <v>7.9013030219018579E-2</v>
      </c>
      <c r="H41" s="90">
        <v>2875</v>
      </c>
      <c r="I41" s="52">
        <f t="shared" si="2"/>
        <v>0.35373913043478261</v>
      </c>
      <c r="J41" s="75">
        <v>20366</v>
      </c>
      <c r="K41" s="88">
        <v>20221</v>
      </c>
      <c r="L41" s="54">
        <f t="shared" si="3"/>
        <v>7.1707630680975225E-3</v>
      </c>
      <c r="M41" s="83">
        <v>19500</v>
      </c>
      <c r="N41" s="54">
        <f t="shared" si="4"/>
        <v>4.4410256410256407E-2</v>
      </c>
      <c r="O41" s="89">
        <v>20533</v>
      </c>
      <c r="P41" s="52">
        <f t="shared" si="5"/>
        <v>-8.1332489163785122E-3</v>
      </c>
      <c r="Q41" s="52">
        <f t="shared" si="6"/>
        <v>0.19110281842286164</v>
      </c>
      <c r="R41" s="52">
        <f t="shared" si="7"/>
        <v>0.19123683299540081</v>
      </c>
      <c r="S41" s="52">
        <f t="shared" si="8"/>
        <v>-1.340145725391706E-4</v>
      </c>
      <c r="T41" s="52">
        <f t="shared" si="9"/>
        <v>0.18497435897435899</v>
      </c>
      <c r="U41" s="52">
        <f t="shared" si="10"/>
        <v>6.1284594485026544E-3</v>
      </c>
      <c r="V41" s="52">
        <f t="shared" si="11"/>
        <v>0.14001850679394146</v>
      </c>
      <c r="W41" s="52">
        <f t="shared" si="12"/>
        <v>5.1084311628920187E-2</v>
      </c>
      <c r="X41" s="84">
        <v>0.1716</v>
      </c>
      <c r="Y41" s="54">
        <v>0.221</v>
      </c>
      <c r="Z41" s="80">
        <v>0.3639</v>
      </c>
      <c r="AA41" s="140">
        <v>0.3856</v>
      </c>
    </row>
    <row r="42" spans="1:27" ht="16" x14ac:dyDescent="0.2">
      <c r="A42" s="73">
        <v>62</v>
      </c>
      <c r="B42" s="45" t="s">
        <v>64</v>
      </c>
      <c r="C42" s="83">
        <v>1385</v>
      </c>
      <c r="D42" s="75">
        <v>1444</v>
      </c>
      <c r="E42" s="52">
        <f t="shared" si="0"/>
        <v>4.2599277978339352E-2</v>
      </c>
      <c r="F42" s="88">
        <v>1031</v>
      </c>
      <c r="G42" s="52">
        <f t="shared" si="1"/>
        <v>0.40058195926285162</v>
      </c>
      <c r="H42" s="90">
        <v>656</v>
      </c>
      <c r="I42" s="52">
        <f t="shared" si="2"/>
        <v>1.2012195121951219</v>
      </c>
      <c r="J42" s="75">
        <v>11468</v>
      </c>
      <c r="K42" s="88">
        <v>11074</v>
      </c>
      <c r="L42" s="54">
        <f t="shared" si="3"/>
        <v>3.5578833303232797E-2</v>
      </c>
      <c r="M42" s="83">
        <v>9946</v>
      </c>
      <c r="N42" s="54">
        <f t="shared" si="4"/>
        <v>0.15302634224813996</v>
      </c>
      <c r="O42" s="89">
        <v>9146</v>
      </c>
      <c r="P42" s="52">
        <f t="shared" si="5"/>
        <v>0.25388147824185436</v>
      </c>
      <c r="Q42" s="52">
        <f t="shared" si="6"/>
        <v>0.12591559121032439</v>
      </c>
      <c r="R42" s="52">
        <f t="shared" si="7"/>
        <v>0.12506772620552645</v>
      </c>
      <c r="S42" s="52">
        <f t="shared" si="8"/>
        <v>8.4786500479794302E-4</v>
      </c>
      <c r="T42" s="52">
        <f t="shared" si="9"/>
        <v>0.10365976271868088</v>
      </c>
      <c r="U42" s="52">
        <f t="shared" si="10"/>
        <v>2.2255828491643509E-2</v>
      </c>
      <c r="V42" s="52">
        <f t="shared" si="11"/>
        <v>7.1725344412858077E-2</v>
      </c>
      <c r="W42" s="52">
        <f t="shared" si="12"/>
        <v>5.4190246797466313E-2</v>
      </c>
      <c r="X42" s="84">
        <v>0.17019999999999999</v>
      </c>
      <c r="Y42" s="84">
        <v>0.19309999999999999</v>
      </c>
      <c r="Z42" s="80">
        <v>0.1585</v>
      </c>
      <c r="AA42" s="140">
        <v>0.24510000000000001</v>
      </c>
    </row>
    <row r="43" spans="1:27" ht="16" x14ac:dyDescent="0.2">
      <c r="A43" s="73">
        <v>63</v>
      </c>
      <c r="B43" s="45" t="s">
        <v>65</v>
      </c>
      <c r="C43" s="83">
        <v>912</v>
      </c>
      <c r="D43" s="75">
        <v>916</v>
      </c>
      <c r="E43" s="52">
        <f t="shared" si="0"/>
        <v>4.3859649122807015E-3</v>
      </c>
      <c r="F43" s="88">
        <v>895</v>
      </c>
      <c r="G43" s="52">
        <f t="shared" si="1"/>
        <v>2.3463687150837988E-2</v>
      </c>
      <c r="H43" s="90">
        <v>848</v>
      </c>
      <c r="I43" s="52">
        <f t="shared" si="2"/>
        <v>8.0188679245283015E-2</v>
      </c>
      <c r="J43" s="75">
        <v>8624</v>
      </c>
      <c r="K43" s="88">
        <v>8441</v>
      </c>
      <c r="L43" s="54">
        <f t="shared" si="3"/>
        <v>2.1679895746949413E-2</v>
      </c>
      <c r="M43" s="83">
        <v>9815</v>
      </c>
      <c r="N43" s="54">
        <f t="shared" si="4"/>
        <v>-0.12134488028527764</v>
      </c>
      <c r="O43" s="89">
        <v>9144</v>
      </c>
      <c r="P43" s="52">
        <f t="shared" si="5"/>
        <v>-5.6867891513560802E-2</v>
      </c>
      <c r="Q43" s="52">
        <f t="shared" si="6"/>
        <v>0.10621521335807051</v>
      </c>
      <c r="R43" s="52">
        <f t="shared" si="7"/>
        <v>0.1080440706077479</v>
      </c>
      <c r="S43" s="52">
        <f t="shared" si="8"/>
        <v>-1.828857249677393E-3</v>
      </c>
      <c r="T43" s="52">
        <f t="shared" si="9"/>
        <v>9.1186958736627605E-2</v>
      </c>
      <c r="U43" s="52">
        <f t="shared" si="10"/>
        <v>1.5028254621442902E-2</v>
      </c>
      <c r="V43" s="52">
        <f t="shared" si="11"/>
        <v>9.2738407699037614E-2</v>
      </c>
      <c r="W43" s="52">
        <f t="shared" si="12"/>
        <v>1.3476805659032892E-2</v>
      </c>
      <c r="X43" s="106">
        <v>0.2198</v>
      </c>
      <c r="Y43" s="107">
        <v>0.12959999999999999</v>
      </c>
      <c r="Z43" s="92"/>
      <c r="AA43" s="142"/>
    </row>
    <row r="44" spans="1:27" ht="17" x14ac:dyDescent="0.2">
      <c r="A44" s="73">
        <v>64</v>
      </c>
      <c r="B44" s="45" t="s">
        <v>66</v>
      </c>
      <c r="C44" s="83">
        <v>140</v>
      </c>
      <c r="D44" s="75">
        <v>170</v>
      </c>
      <c r="E44" s="52">
        <f t="shared" si="0"/>
        <v>0.21428571428571427</v>
      </c>
      <c r="F44" s="88" t="s">
        <v>85</v>
      </c>
      <c r="G44" s="52" t="e">
        <f t="shared" si="1"/>
        <v>#VALUE!</v>
      </c>
      <c r="H44" s="90">
        <v>149</v>
      </c>
      <c r="I44" s="52">
        <f t="shared" si="2"/>
        <v>0.14093959731543623</v>
      </c>
      <c r="J44" s="75">
        <v>1798</v>
      </c>
      <c r="K44" s="88">
        <v>1768</v>
      </c>
      <c r="L44" s="54">
        <f t="shared" si="3"/>
        <v>1.6968325791855202E-2</v>
      </c>
      <c r="M44" s="83">
        <v>1757</v>
      </c>
      <c r="N44" s="54">
        <f t="shared" si="4"/>
        <v>2.3335230506545249E-2</v>
      </c>
      <c r="O44" s="89">
        <v>1650</v>
      </c>
      <c r="P44" s="52">
        <f t="shared" si="5"/>
        <v>8.9696969696969692E-2</v>
      </c>
      <c r="Q44" s="52">
        <f t="shared" si="6"/>
        <v>9.4549499443826471E-2</v>
      </c>
      <c r="R44" s="52">
        <f t="shared" si="7"/>
        <v>7.9185520361990946E-2</v>
      </c>
      <c r="S44" s="52">
        <f t="shared" si="8"/>
        <v>1.5363979081835524E-2</v>
      </c>
      <c r="T44" s="52" t="e">
        <f t="shared" si="9"/>
        <v>#VALUE!</v>
      </c>
      <c r="U44" s="52" t="e">
        <f t="shared" si="10"/>
        <v>#VALUE!</v>
      </c>
      <c r="V44" s="52">
        <f t="shared" si="11"/>
        <v>9.0303030303030302E-2</v>
      </c>
      <c r="W44" s="52">
        <f t="shared" si="12"/>
        <v>4.2464691407961691E-3</v>
      </c>
      <c r="X44" s="100"/>
      <c r="Y44" s="100"/>
      <c r="Z44" s="92"/>
      <c r="AA44" s="142"/>
    </row>
    <row r="45" spans="1:27" ht="16" x14ac:dyDescent="0.2">
      <c r="A45" s="73">
        <v>67</v>
      </c>
      <c r="B45" s="45" t="s">
        <v>67</v>
      </c>
      <c r="C45" s="76">
        <v>654</v>
      </c>
      <c r="D45" s="75">
        <v>650</v>
      </c>
      <c r="E45" s="52">
        <f t="shared" si="0"/>
        <v>-6.1162079510703364E-3</v>
      </c>
      <c r="F45" s="88">
        <v>676</v>
      </c>
      <c r="G45" s="52">
        <f t="shared" si="1"/>
        <v>-3.8461538461538464E-2</v>
      </c>
      <c r="H45" s="90">
        <v>614</v>
      </c>
      <c r="I45" s="52">
        <f t="shared" si="2"/>
        <v>5.8631921824104233E-2</v>
      </c>
      <c r="J45" s="75">
        <v>5853</v>
      </c>
      <c r="K45" s="88">
        <v>5807</v>
      </c>
      <c r="L45" s="54">
        <f t="shared" si="3"/>
        <v>7.9214740830032722E-3</v>
      </c>
      <c r="M45" s="83">
        <v>5864</v>
      </c>
      <c r="N45" s="54">
        <f t="shared" si="4"/>
        <v>-1.8758526603001365E-3</v>
      </c>
      <c r="O45" s="89">
        <v>5780</v>
      </c>
      <c r="P45" s="52">
        <f t="shared" si="5"/>
        <v>1.2629757785467127E-2</v>
      </c>
      <c r="Q45" s="52">
        <f t="shared" si="6"/>
        <v>0.11105416025969589</v>
      </c>
      <c r="R45" s="52">
        <f t="shared" si="7"/>
        <v>0.11262269674530739</v>
      </c>
      <c r="S45" s="52">
        <f t="shared" si="8"/>
        <v>-1.5685364856115047E-3</v>
      </c>
      <c r="T45" s="52">
        <f t="shared" si="9"/>
        <v>0.11527967257844475</v>
      </c>
      <c r="U45" s="52">
        <f t="shared" si="10"/>
        <v>-4.2255123187488614E-3</v>
      </c>
      <c r="V45" s="52">
        <f t="shared" si="11"/>
        <v>0.10622837370242215</v>
      </c>
      <c r="W45" s="52">
        <f t="shared" si="12"/>
        <v>4.8257865572737396E-3</v>
      </c>
      <c r="X45" s="100"/>
      <c r="Y45" s="100"/>
      <c r="Z45" s="80">
        <v>0.38059999999999999</v>
      </c>
      <c r="AA45" s="140">
        <v>0.43</v>
      </c>
    </row>
    <row r="46" spans="1:27" ht="16" x14ac:dyDescent="0.2">
      <c r="A46" s="73">
        <v>68</v>
      </c>
      <c r="B46" s="45" t="s">
        <v>68</v>
      </c>
      <c r="C46" s="83">
        <v>1574</v>
      </c>
      <c r="D46" s="75">
        <v>1589</v>
      </c>
      <c r="E46" s="52">
        <f t="shared" si="0"/>
        <v>9.5298602287166457E-3</v>
      </c>
      <c r="F46" s="88">
        <v>1386</v>
      </c>
      <c r="G46" s="52">
        <f t="shared" si="1"/>
        <v>0.14646464646464646</v>
      </c>
      <c r="H46" s="90">
        <v>1178</v>
      </c>
      <c r="I46" s="52">
        <f t="shared" si="2"/>
        <v>0.34889643463497455</v>
      </c>
      <c r="J46" s="75">
        <v>14608</v>
      </c>
      <c r="K46" s="88">
        <v>14336</v>
      </c>
      <c r="L46" s="54">
        <f t="shared" si="3"/>
        <v>1.8973214285714284E-2</v>
      </c>
      <c r="M46" s="83">
        <v>13875</v>
      </c>
      <c r="N46" s="54">
        <f t="shared" si="4"/>
        <v>5.2828828828828826E-2</v>
      </c>
      <c r="O46" s="89">
        <v>14834</v>
      </c>
      <c r="P46" s="52">
        <f t="shared" si="5"/>
        <v>-1.5235270324929216E-2</v>
      </c>
      <c r="Q46" s="52">
        <f t="shared" si="6"/>
        <v>0.10877601314348302</v>
      </c>
      <c r="R46" s="52">
        <f t="shared" si="7"/>
        <v>0.10979352678571429</v>
      </c>
      <c r="S46" s="52">
        <f t="shared" si="8"/>
        <v>-1.0175136422312658E-3</v>
      </c>
      <c r="T46" s="52">
        <f t="shared" si="9"/>
        <v>9.989189189189189E-2</v>
      </c>
      <c r="U46" s="52">
        <f t="shared" si="10"/>
        <v>8.8841212515911316E-3</v>
      </c>
      <c r="V46" s="52">
        <f t="shared" si="11"/>
        <v>7.9412161251179725E-2</v>
      </c>
      <c r="W46" s="52">
        <f t="shared" si="12"/>
        <v>2.9363851892303297E-2</v>
      </c>
      <c r="X46" s="100">
        <v>0.1474</v>
      </c>
      <c r="Y46" s="100">
        <v>0.1484</v>
      </c>
      <c r="Z46" s="80">
        <v>0.57940000000000003</v>
      </c>
      <c r="AA46" s="140">
        <v>0.48220000000000002</v>
      </c>
    </row>
    <row r="47" spans="1:27" ht="16" x14ac:dyDescent="0.2">
      <c r="A47" s="81">
        <v>69</v>
      </c>
      <c r="B47" s="59" t="s">
        <v>69</v>
      </c>
      <c r="C47" s="62">
        <v>419</v>
      </c>
      <c r="D47" s="61">
        <v>438</v>
      </c>
      <c r="E47" s="56">
        <f t="shared" si="0"/>
        <v>4.5346062052505964E-2</v>
      </c>
      <c r="F47" s="68">
        <v>379</v>
      </c>
      <c r="G47" s="56">
        <f t="shared" si="1"/>
        <v>0.15567282321899736</v>
      </c>
      <c r="H47" s="70">
        <v>431</v>
      </c>
      <c r="I47" s="56">
        <f t="shared" si="2"/>
        <v>1.6241299303944315E-2</v>
      </c>
      <c r="J47" s="61">
        <v>4372</v>
      </c>
      <c r="K47" s="68">
        <v>4296</v>
      </c>
      <c r="L47" s="57">
        <f t="shared" si="3"/>
        <v>1.7690875232774673E-2</v>
      </c>
      <c r="M47" s="63">
        <v>4233</v>
      </c>
      <c r="N47" s="57">
        <f t="shared" si="4"/>
        <v>3.2837231278053387E-2</v>
      </c>
      <c r="O47" s="69">
        <v>4914</v>
      </c>
      <c r="P47" s="56">
        <f t="shared" si="5"/>
        <v>-0.1102971102971103</v>
      </c>
      <c r="Q47" s="56">
        <f t="shared" si="6"/>
        <v>0.10018298261665141</v>
      </c>
      <c r="R47" s="56">
        <f t="shared" si="7"/>
        <v>9.7532588454376165E-2</v>
      </c>
      <c r="S47" s="56">
        <f t="shared" si="8"/>
        <v>2.6503941622752492E-3</v>
      </c>
      <c r="T47" s="56">
        <f t="shared" si="9"/>
        <v>8.953460902433262E-2</v>
      </c>
      <c r="U47" s="56">
        <f t="shared" si="10"/>
        <v>1.0648373592318794E-2</v>
      </c>
      <c r="V47" s="56">
        <f t="shared" si="11"/>
        <v>8.7708587708587707E-2</v>
      </c>
      <c r="W47" s="56">
        <f t="shared" si="12"/>
        <v>1.2474394908063707E-2</v>
      </c>
      <c r="X47" s="102">
        <v>0.16669999999999999</v>
      </c>
      <c r="Y47" s="102">
        <v>0.13869999999999999</v>
      </c>
      <c r="Z47" s="65">
        <v>0.37140000000000001</v>
      </c>
      <c r="AA47" s="143">
        <v>0.45029999999999998</v>
      </c>
    </row>
    <row r="48" spans="1:27" ht="16" x14ac:dyDescent="0.2">
      <c r="A48" s="73">
        <v>70</v>
      </c>
      <c r="B48" s="45" t="s">
        <v>70</v>
      </c>
      <c r="C48" s="83">
        <v>372</v>
      </c>
      <c r="D48" s="75">
        <v>384</v>
      </c>
      <c r="E48" s="52">
        <f t="shared" si="0"/>
        <v>3.2258064516129031E-2</v>
      </c>
      <c r="F48" s="88">
        <v>417</v>
      </c>
      <c r="G48" s="52">
        <f t="shared" si="1"/>
        <v>-7.9136690647482008E-2</v>
      </c>
      <c r="H48" s="90">
        <v>325</v>
      </c>
      <c r="I48" s="52">
        <f t="shared" si="2"/>
        <v>0.18153846153846154</v>
      </c>
      <c r="J48" s="75">
        <v>3871</v>
      </c>
      <c r="K48" s="88">
        <v>3930</v>
      </c>
      <c r="L48" s="54">
        <f t="shared" si="3"/>
        <v>-1.5012722646310433E-2</v>
      </c>
      <c r="M48" s="83">
        <v>3722</v>
      </c>
      <c r="N48" s="54">
        <f t="shared" si="4"/>
        <v>4.0032240730789898E-2</v>
      </c>
      <c r="O48" s="89">
        <v>4323</v>
      </c>
      <c r="P48" s="52">
        <f t="shared" si="5"/>
        <v>-0.10455702058755494</v>
      </c>
      <c r="Q48" s="52">
        <f t="shared" si="6"/>
        <v>9.9199173340222171E-2</v>
      </c>
      <c r="R48" s="52">
        <f t="shared" si="7"/>
        <v>9.465648854961832E-2</v>
      </c>
      <c r="S48" s="52">
        <f t="shared" si="8"/>
        <v>4.5426847906038514E-3</v>
      </c>
      <c r="T48" s="52">
        <f t="shared" si="9"/>
        <v>0.11203653949489521</v>
      </c>
      <c r="U48" s="52">
        <f t="shared" si="10"/>
        <v>-1.2837366154673041E-2</v>
      </c>
      <c r="V48" s="52">
        <f t="shared" si="11"/>
        <v>7.5179273652556097E-2</v>
      </c>
      <c r="W48" s="52">
        <f t="shared" si="12"/>
        <v>2.4019899687666074E-2</v>
      </c>
      <c r="X48" s="100">
        <v>-0.46429999999999999</v>
      </c>
      <c r="Y48" s="100">
        <v>0.18429999999999999</v>
      </c>
      <c r="Z48" s="80">
        <v>0.70730000000000004</v>
      </c>
      <c r="AA48" s="140">
        <v>6.1800000000000001E-2</v>
      </c>
    </row>
    <row r="49" spans="1:27" ht="16" x14ac:dyDescent="0.2">
      <c r="A49" s="73">
        <v>71</v>
      </c>
      <c r="B49" s="45" t="s">
        <v>71</v>
      </c>
      <c r="C49" s="83">
        <v>1218</v>
      </c>
      <c r="D49" s="75">
        <v>1233</v>
      </c>
      <c r="E49" s="52">
        <f t="shared" si="0"/>
        <v>1.2315270935960592E-2</v>
      </c>
      <c r="F49" s="88">
        <v>1157</v>
      </c>
      <c r="G49" s="52">
        <f t="shared" si="1"/>
        <v>6.5687121866897152E-2</v>
      </c>
      <c r="H49" s="90">
        <v>866</v>
      </c>
      <c r="I49" s="52">
        <f t="shared" si="2"/>
        <v>0.4237875288683603</v>
      </c>
      <c r="J49" s="75">
        <v>9189</v>
      </c>
      <c r="K49" s="88">
        <v>8853</v>
      </c>
      <c r="L49" s="54">
        <f t="shared" si="3"/>
        <v>3.7953236191121655E-2</v>
      </c>
      <c r="M49" s="83">
        <v>8668</v>
      </c>
      <c r="N49" s="54">
        <f t="shared" si="4"/>
        <v>6.0106137517305029E-2</v>
      </c>
      <c r="O49" s="89">
        <v>9057</v>
      </c>
      <c r="P49" s="52">
        <f t="shared" si="5"/>
        <v>1.457436237164624E-2</v>
      </c>
      <c r="Q49" s="52">
        <f t="shared" si="6"/>
        <v>0.13418217433888344</v>
      </c>
      <c r="R49" s="52">
        <f t="shared" si="7"/>
        <v>0.13758048119281599</v>
      </c>
      <c r="S49" s="52">
        <f t="shared" si="8"/>
        <v>-3.3983068539325534E-3</v>
      </c>
      <c r="T49" s="52">
        <f t="shared" si="9"/>
        <v>0.1334794646977388</v>
      </c>
      <c r="U49" s="52">
        <f t="shared" si="10"/>
        <v>7.0270964114463319E-4</v>
      </c>
      <c r="V49" s="52">
        <f t="shared" si="11"/>
        <v>9.5616650104891246E-2</v>
      </c>
      <c r="W49" s="52">
        <f t="shared" si="12"/>
        <v>3.8565524233992191E-2</v>
      </c>
      <c r="X49" s="100">
        <v>8.6499999999999994E-2</v>
      </c>
      <c r="Y49" s="100">
        <v>0.1313</v>
      </c>
      <c r="Z49" s="80">
        <v>0.28449999999999998</v>
      </c>
      <c r="AA49" s="140">
        <v>0.2591</v>
      </c>
    </row>
    <row r="50" spans="1:27" ht="16" x14ac:dyDescent="0.2">
      <c r="A50" s="73">
        <v>72</v>
      </c>
      <c r="B50" s="45" t="s">
        <v>72</v>
      </c>
      <c r="C50" s="83">
        <v>864</v>
      </c>
      <c r="D50" s="75">
        <v>841</v>
      </c>
      <c r="E50" s="52">
        <f t="shared" si="0"/>
        <v>-2.6620370370370371E-2</v>
      </c>
      <c r="F50" s="88">
        <v>836</v>
      </c>
      <c r="G50" s="52">
        <f t="shared" si="1"/>
        <v>5.9808612440191387E-3</v>
      </c>
      <c r="H50" s="90">
        <v>776</v>
      </c>
      <c r="I50" s="52">
        <f t="shared" si="2"/>
        <v>8.3762886597938138E-2</v>
      </c>
      <c r="J50" s="75">
        <v>5428</v>
      </c>
      <c r="K50" s="88">
        <v>5331</v>
      </c>
      <c r="L50" s="54">
        <f t="shared" si="3"/>
        <v>1.8195460513974863E-2</v>
      </c>
      <c r="M50" s="83">
        <v>5205</v>
      </c>
      <c r="N50" s="54">
        <f t="shared" si="4"/>
        <v>4.2843419788664745E-2</v>
      </c>
      <c r="O50" s="89">
        <v>5731</v>
      </c>
      <c r="P50" s="52">
        <f t="shared" si="5"/>
        <v>-5.2870354213924269E-2</v>
      </c>
      <c r="Q50" s="52">
        <f t="shared" si="6"/>
        <v>0.15493736182756079</v>
      </c>
      <c r="R50" s="52">
        <f t="shared" si="7"/>
        <v>0.16207090602138435</v>
      </c>
      <c r="S50" s="52">
        <f t="shared" si="8"/>
        <v>-7.13354419382356E-3</v>
      </c>
      <c r="T50" s="52">
        <f t="shared" si="9"/>
        <v>0.1606147934678194</v>
      </c>
      <c r="U50" s="52">
        <f t="shared" si="10"/>
        <v>-5.6774316402586067E-3</v>
      </c>
      <c r="V50" s="52">
        <f t="shared" si="11"/>
        <v>0.1354039434653638</v>
      </c>
      <c r="W50" s="52">
        <f t="shared" si="12"/>
        <v>1.9533418362196991E-2</v>
      </c>
      <c r="X50" s="108">
        <v>0.20880000000000001</v>
      </c>
      <c r="Y50" s="108">
        <v>0.2636</v>
      </c>
      <c r="Z50" s="80">
        <v>0.35820000000000002</v>
      </c>
      <c r="AA50" s="140">
        <v>0.3306</v>
      </c>
    </row>
    <row r="51" spans="1:27" ht="16" x14ac:dyDescent="0.2">
      <c r="A51" s="73">
        <v>73</v>
      </c>
      <c r="B51" s="45" t="s">
        <v>73</v>
      </c>
      <c r="C51" s="83">
        <v>1220</v>
      </c>
      <c r="D51" s="75">
        <v>1238</v>
      </c>
      <c r="E51" s="52">
        <f t="shared" si="0"/>
        <v>1.4754098360655738E-2</v>
      </c>
      <c r="F51" s="88">
        <v>1132</v>
      </c>
      <c r="G51" s="52">
        <f t="shared" si="1"/>
        <v>9.3639575971731448E-2</v>
      </c>
      <c r="H51" s="90">
        <v>951</v>
      </c>
      <c r="I51" s="52">
        <f t="shared" si="2"/>
        <v>0.30178759200841221</v>
      </c>
      <c r="J51" s="75">
        <v>15027</v>
      </c>
      <c r="K51" s="88">
        <v>14665</v>
      </c>
      <c r="L51" s="54">
        <f t="shared" si="3"/>
        <v>2.4684623252642347E-2</v>
      </c>
      <c r="M51" s="83">
        <v>14459</v>
      </c>
      <c r="N51" s="54">
        <f t="shared" si="4"/>
        <v>3.9283491251123868E-2</v>
      </c>
      <c r="O51" s="89">
        <v>14956</v>
      </c>
      <c r="P51" s="52">
        <f t="shared" si="5"/>
        <v>4.747258625300883E-3</v>
      </c>
      <c r="Q51" s="52">
        <f t="shared" si="6"/>
        <v>8.2385040260863782E-2</v>
      </c>
      <c r="R51" s="52">
        <f t="shared" si="7"/>
        <v>8.3191271735424482E-2</v>
      </c>
      <c r="S51" s="52">
        <f t="shared" si="8"/>
        <v>-8.0623147456070077E-4</v>
      </c>
      <c r="T51" s="52">
        <f t="shared" si="9"/>
        <v>7.829033819766236E-2</v>
      </c>
      <c r="U51" s="52">
        <f t="shared" si="10"/>
        <v>4.0947020632014219E-3</v>
      </c>
      <c r="V51" s="52">
        <f t="shared" si="11"/>
        <v>6.3586520460016047E-2</v>
      </c>
      <c r="W51" s="52">
        <f t="shared" si="12"/>
        <v>1.8798519800847735E-2</v>
      </c>
      <c r="X51" s="84">
        <v>9.1700000000000004E-2</v>
      </c>
      <c r="Y51" s="84">
        <v>0.1012</v>
      </c>
      <c r="Z51" s="80">
        <v>0.11840000000000001</v>
      </c>
      <c r="AA51" s="140">
        <v>0.19139999999999999</v>
      </c>
    </row>
    <row r="52" spans="1:27" ht="16" x14ac:dyDescent="0.2">
      <c r="A52" s="73">
        <v>74</v>
      </c>
      <c r="B52" s="45" t="s">
        <v>15</v>
      </c>
      <c r="C52" s="103"/>
      <c r="D52" s="103"/>
      <c r="E52" s="52"/>
      <c r="F52" s="52"/>
      <c r="G52" s="52"/>
      <c r="H52" s="103"/>
      <c r="I52" s="52"/>
      <c r="J52" s="85"/>
      <c r="K52" s="52"/>
      <c r="L52" s="54"/>
      <c r="M52" s="109"/>
      <c r="N52" s="54"/>
      <c r="O52" s="109"/>
      <c r="P52" s="52"/>
      <c r="Q52" s="52"/>
      <c r="R52" s="52"/>
      <c r="S52" s="52"/>
      <c r="T52" s="52"/>
      <c r="U52" s="52"/>
      <c r="V52" s="52"/>
      <c r="W52" s="52"/>
      <c r="X52" s="84"/>
      <c r="Y52" s="84"/>
      <c r="Z52" s="80"/>
      <c r="AA52" s="141"/>
    </row>
    <row r="53" spans="1:27" ht="16" x14ac:dyDescent="0.2">
      <c r="A53" s="73">
        <v>75</v>
      </c>
      <c r="B53" s="45" t="s">
        <v>74</v>
      </c>
      <c r="C53" s="83">
        <v>496</v>
      </c>
      <c r="D53" s="75">
        <v>524</v>
      </c>
      <c r="E53" s="52">
        <f t="shared" si="0"/>
        <v>5.6451612903225805E-2</v>
      </c>
      <c r="F53" s="88">
        <v>473</v>
      </c>
      <c r="G53" s="52">
        <f t="shared" si="1"/>
        <v>0.10782241014799154</v>
      </c>
      <c r="H53" s="90">
        <v>437</v>
      </c>
      <c r="I53" s="52">
        <f t="shared" si="2"/>
        <v>0.19908466819221968</v>
      </c>
      <c r="J53" s="75">
        <v>6283</v>
      </c>
      <c r="K53" s="88">
        <v>6300</v>
      </c>
      <c r="L53" s="54">
        <f t="shared" si="3"/>
        <v>-2.6984126984126986E-3</v>
      </c>
      <c r="M53" s="83">
        <v>5990</v>
      </c>
      <c r="N53" s="54">
        <f t="shared" si="4"/>
        <v>4.8914858096828044E-2</v>
      </c>
      <c r="O53" s="89">
        <v>6722</v>
      </c>
      <c r="P53" s="52">
        <f t="shared" si="5"/>
        <v>-6.5307944064266585E-2</v>
      </c>
      <c r="Q53" s="52">
        <f t="shared" si="6"/>
        <v>8.3399649848798343E-2</v>
      </c>
      <c r="R53" s="52">
        <f t="shared" si="7"/>
        <v>7.8730158730158734E-2</v>
      </c>
      <c r="S53" s="52">
        <f t="shared" si="8"/>
        <v>4.6694911186396099E-3</v>
      </c>
      <c r="T53" s="52">
        <f t="shared" si="9"/>
        <v>7.8964941569282132E-2</v>
      </c>
      <c r="U53" s="52">
        <f t="shared" si="10"/>
        <v>4.4347082795162113E-3</v>
      </c>
      <c r="V53" s="52">
        <f t="shared" si="11"/>
        <v>6.5010413567390651E-2</v>
      </c>
      <c r="W53" s="52">
        <f t="shared" si="12"/>
        <v>1.8389236281407692E-2</v>
      </c>
      <c r="X53" s="84">
        <v>0.26469999999999999</v>
      </c>
      <c r="Y53" s="84">
        <v>0.35370000000000001</v>
      </c>
      <c r="Z53" s="80">
        <v>0.25929999999999997</v>
      </c>
      <c r="AA53" s="140">
        <v>0.54800000000000004</v>
      </c>
    </row>
    <row r="54" spans="1:27" ht="16" x14ac:dyDescent="0.2">
      <c r="A54" s="73">
        <v>78</v>
      </c>
      <c r="B54" s="45" t="s">
        <v>9</v>
      </c>
      <c r="C54" s="110"/>
      <c r="D54" s="103"/>
      <c r="E54" s="52"/>
      <c r="F54" s="52"/>
      <c r="G54" s="52"/>
      <c r="H54" s="103"/>
      <c r="I54" s="52"/>
      <c r="J54" s="109"/>
      <c r="K54" s="52"/>
      <c r="L54" s="54"/>
      <c r="M54" s="109"/>
      <c r="N54" s="54"/>
      <c r="O54" s="109"/>
      <c r="P54" s="52"/>
      <c r="Q54" s="52"/>
      <c r="R54" s="52"/>
      <c r="S54" s="52"/>
      <c r="T54" s="52"/>
      <c r="U54" s="52"/>
      <c r="V54" s="52"/>
      <c r="W54" s="52"/>
      <c r="X54" s="84"/>
      <c r="Y54" s="84"/>
      <c r="Z54" s="80"/>
      <c r="AA54" s="141"/>
    </row>
    <row r="55" spans="1:27" ht="16" x14ac:dyDescent="0.2">
      <c r="A55" s="73">
        <v>79</v>
      </c>
      <c r="B55" s="45" t="s">
        <v>75</v>
      </c>
      <c r="C55" s="83">
        <v>1032</v>
      </c>
      <c r="D55" s="75">
        <v>1049</v>
      </c>
      <c r="E55" s="52">
        <f t="shared" si="0"/>
        <v>1.6472868217054265E-2</v>
      </c>
      <c r="F55" s="88">
        <v>928</v>
      </c>
      <c r="G55" s="52">
        <f t="shared" si="1"/>
        <v>0.13038793103448276</v>
      </c>
      <c r="H55" s="90">
        <v>672</v>
      </c>
      <c r="I55" s="52">
        <f t="shared" si="2"/>
        <v>0.56101190476190477</v>
      </c>
      <c r="J55" s="75">
        <v>8279</v>
      </c>
      <c r="K55" s="88">
        <v>8027</v>
      </c>
      <c r="L55" s="54">
        <f t="shared" si="3"/>
        <v>3.1394045097794941E-2</v>
      </c>
      <c r="M55" s="83">
        <v>7682</v>
      </c>
      <c r="N55" s="54">
        <f t="shared" si="4"/>
        <v>7.7714136943504292E-2</v>
      </c>
      <c r="O55" s="89">
        <v>8809</v>
      </c>
      <c r="P55" s="52">
        <f t="shared" si="5"/>
        <v>-6.0165739584515834E-2</v>
      </c>
      <c r="Q55" s="52">
        <f t="shared" si="6"/>
        <v>0.12670612392801062</v>
      </c>
      <c r="R55" s="52">
        <f t="shared" si="7"/>
        <v>0.12856608944811262</v>
      </c>
      <c r="S55" s="52">
        <f t="shared" si="8"/>
        <v>-1.8599655201020082E-3</v>
      </c>
      <c r="T55" s="52">
        <f t="shared" si="9"/>
        <v>0.12080187451184587</v>
      </c>
      <c r="U55" s="52">
        <f t="shared" si="10"/>
        <v>5.9042494161647419E-3</v>
      </c>
      <c r="V55" s="52">
        <f t="shared" si="11"/>
        <v>7.6285616982631393E-2</v>
      </c>
      <c r="W55" s="52">
        <f t="shared" si="12"/>
        <v>5.0420506945379223E-2</v>
      </c>
      <c r="X55" s="84">
        <v>0.1138</v>
      </c>
      <c r="Y55" s="84">
        <v>0.1573</v>
      </c>
      <c r="Z55" s="80">
        <v>0.39439999999999997</v>
      </c>
      <c r="AA55" s="140">
        <v>0.41420000000000001</v>
      </c>
    </row>
    <row r="56" spans="1:27" ht="16" x14ac:dyDescent="0.2">
      <c r="A56" s="73">
        <v>81</v>
      </c>
      <c r="B56" s="45" t="s">
        <v>7</v>
      </c>
      <c r="C56" s="103"/>
      <c r="D56" s="103"/>
      <c r="E56" s="52"/>
      <c r="F56" s="52"/>
      <c r="G56" s="52"/>
      <c r="H56" s="103"/>
      <c r="I56" s="52"/>
      <c r="J56" s="103"/>
      <c r="K56" s="52"/>
      <c r="L56" s="54"/>
      <c r="M56" s="103"/>
      <c r="N56" s="54"/>
      <c r="O56" s="103"/>
      <c r="P56" s="52"/>
      <c r="Q56" s="52"/>
      <c r="R56" s="52"/>
      <c r="S56" s="52"/>
      <c r="T56" s="52"/>
      <c r="U56" s="52"/>
      <c r="V56" s="52"/>
      <c r="W56" s="52"/>
      <c r="X56" s="84"/>
      <c r="Y56" s="84"/>
      <c r="Z56" s="80"/>
      <c r="AA56" s="141"/>
    </row>
    <row r="57" spans="1:27" ht="16" x14ac:dyDescent="0.2">
      <c r="A57" s="73">
        <v>82</v>
      </c>
      <c r="B57" s="45" t="s">
        <v>76</v>
      </c>
      <c r="C57" s="83">
        <v>461</v>
      </c>
      <c r="D57" s="75">
        <v>473</v>
      </c>
      <c r="E57" s="52">
        <f t="shared" si="0"/>
        <v>2.6030368763557483E-2</v>
      </c>
      <c r="F57" s="88">
        <v>423</v>
      </c>
      <c r="G57" s="52">
        <f t="shared" si="1"/>
        <v>0.1182033096926714</v>
      </c>
      <c r="H57" s="90">
        <v>332</v>
      </c>
      <c r="I57" s="52">
        <f t="shared" si="2"/>
        <v>0.4246987951807229</v>
      </c>
      <c r="J57" s="75">
        <v>4327</v>
      </c>
      <c r="K57" s="88">
        <v>4241</v>
      </c>
      <c r="L57" s="54">
        <f t="shared" si="3"/>
        <v>2.0278236265031831E-2</v>
      </c>
      <c r="M57" s="83">
        <v>4963</v>
      </c>
      <c r="N57" s="54">
        <f t="shared" si="4"/>
        <v>-0.12814829740076566</v>
      </c>
      <c r="O57" s="89">
        <v>5549</v>
      </c>
      <c r="P57" s="52">
        <f t="shared" si="5"/>
        <v>-0.22021985943413228</v>
      </c>
      <c r="Q57" s="52">
        <f t="shared" si="6"/>
        <v>0.10931361220244973</v>
      </c>
      <c r="R57" s="52">
        <f t="shared" si="7"/>
        <v>0.10870077811836831</v>
      </c>
      <c r="S57" s="52">
        <f t="shared" si="8"/>
        <v>6.1283408408141504E-4</v>
      </c>
      <c r="T57" s="52">
        <f t="shared" si="9"/>
        <v>8.5230707233528102E-2</v>
      </c>
      <c r="U57" s="52">
        <f t="shared" si="10"/>
        <v>2.4082904968921626E-2</v>
      </c>
      <c r="V57" s="52">
        <f t="shared" si="11"/>
        <v>5.9830600108127588E-2</v>
      </c>
      <c r="W57" s="52">
        <f t="shared" si="12"/>
        <v>4.948301209432214E-2</v>
      </c>
      <c r="X57" s="84">
        <v>0.28070000000000001</v>
      </c>
      <c r="Y57" s="84">
        <v>0.28620000000000001</v>
      </c>
      <c r="Z57" s="80">
        <v>0.33329999999999999</v>
      </c>
      <c r="AA57" s="140">
        <v>0.31259999999999999</v>
      </c>
    </row>
    <row r="58" spans="1:27" ht="16" x14ac:dyDescent="0.2">
      <c r="A58" s="73">
        <v>83</v>
      </c>
      <c r="B58" s="45" t="s">
        <v>77</v>
      </c>
      <c r="C58" s="83">
        <v>778</v>
      </c>
      <c r="D58" s="75">
        <v>731</v>
      </c>
      <c r="E58" s="52">
        <f t="shared" si="0"/>
        <v>-6.0411311053984576E-2</v>
      </c>
      <c r="F58" s="88">
        <v>739</v>
      </c>
      <c r="G58" s="52">
        <f t="shared" si="1"/>
        <v>-1.0825439783491205E-2</v>
      </c>
      <c r="H58" s="90">
        <v>467</v>
      </c>
      <c r="I58" s="52">
        <f t="shared" si="2"/>
        <v>0.56531049250535337</v>
      </c>
      <c r="J58" s="75">
        <v>6283</v>
      </c>
      <c r="K58" s="88">
        <v>6115</v>
      </c>
      <c r="L58" s="54">
        <f t="shared" si="3"/>
        <v>2.7473426001635323E-2</v>
      </c>
      <c r="M58" s="83">
        <v>5957</v>
      </c>
      <c r="N58" s="54">
        <f t="shared" si="4"/>
        <v>5.472553298640255E-2</v>
      </c>
      <c r="O58" s="89">
        <v>7191</v>
      </c>
      <c r="P58" s="52">
        <f t="shared" si="5"/>
        <v>-0.12626894729523014</v>
      </c>
      <c r="Q58" s="52">
        <f t="shared" si="6"/>
        <v>0.11634569473181601</v>
      </c>
      <c r="R58" s="52">
        <f t="shared" si="7"/>
        <v>0.12722812755519214</v>
      </c>
      <c r="S58" s="52">
        <f t="shared" si="8"/>
        <v>-1.0882432823376129E-2</v>
      </c>
      <c r="T58" s="52">
        <f t="shared" si="9"/>
        <v>0.12405573275138493</v>
      </c>
      <c r="U58" s="52">
        <f t="shared" si="10"/>
        <v>-7.7100380195689183E-3</v>
      </c>
      <c r="V58" s="52">
        <f t="shared" si="11"/>
        <v>6.4942288972326526E-2</v>
      </c>
      <c r="W58" s="52">
        <f t="shared" si="12"/>
        <v>5.1403405759489484E-2</v>
      </c>
      <c r="X58" s="84">
        <v>0.1522</v>
      </c>
      <c r="Y58" s="84">
        <v>8.9300000000000004E-2</v>
      </c>
      <c r="Z58" s="80">
        <v>0.34410000000000002</v>
      </c>
      <c r="AA58" s="140">
        <v>0.27929999999999999</v>
      </c>
    </row>
    <row r="59" spans="1:27" ht="16" x14ac:dyDescent="0.2">
      <c r="A59" s="73">
        <v>84</v>
      </c>
      <c r="B59" s="45" t="s">
        <v>11</v>
      </c>
      <c r="C59" s="103"/>
      <c r="D59" s="103"/>
      <c r="E59" s="52"/>
      <c r="F59" s="52"/>
      <c r="G59" s="52"/>
      <c r="H59" s="103"/>
      <c r="I59" s="52"/>
      <c r="J59" s="109"/>
      <c r="K59" s="52"/>
      <c r="L59" s="54"/>
      <c r="M59" s="109"/>
      <c r="N59" s="54"/>
      <c r="O59" s="109"/>
      <c r="P59" s="52"/>
      <c r="Q59" s="52"/>
      <c r="R59" s="52"/>
      <c r="S59" s="52"/>
      <c r="T59" s="52"/>
      <c r="U59" s="52"/>
      <c r="V59" s="52"/>
      <c r="W59" s="52"/>
      <c r="X59" s="84"/>
      <c r="Y59" s="84"/>
      <c r="Z59" s="80"/>
      <c r="AA59" s="141"/>
    </row>
    <row r="60" spans="1:27" ht="16" x14ac:dyDescent="0.2">
      <c r="A60" s="73">
        <v>85</v>
      </c>
      <c r="B60" s="45" t="s">
        <v>12</v>
      </c>
      <c r="C60" s="103"/>
      <c r="D60" s="103"/>
      <c r="E60" s="52"/>
      <c r="F60" s="52"/>
      <c r="G60" s="52"/>
      <c r="H60" s="103"/>
      <c r="I60" s="52"/>
      <c r="J60" s="109"/>
      <c r="K60" s="52"/>
      <c r="L60" s="54"/>
      <c r="M60" s="109"/>
      <c r="N60" s="54"/>
      <c r="O60" s="109"/>
      <c r="P60" s="52"/>
      <c r="Q60" s="52"/>
      <c r="R60" s="52"/>
      <c r="S60" s="52"/>
      <c r="T60" s="52"/>
      <c r="U60" s="52"/>
      <c r="V60" s="52"/>
      <c r="W60" s="52"/>
      <c r="X60" s="84"/>
      <c r="Y60" s="84"/>
      <c r="Z60" s="80"/>
      <c r="AA60" s="141"/>
    </row>
    <row r="61" spans="1:27" ht="16" x14ac:dyDescent="0.2">
      <c r="A61" s="73">
        <v>87</v>
      </c>
      <c r="B61" s="45" t="s">
        <v>8</v>
      </c>
      <c r="C61" s="103"/>
      <c r="D61" s="103"/>
      <c r="E61" s="52"/>
      <c r="F61" s="52"/>
      <c r="G61" s="52"/>
      <c r="H61" s="103"/>
      <c r="I61" s="52"/>
      <c r="J61" s="109"/>
      <c r="K61" s="52"/>
      <c r="L61" s="54"/>
      <c r="M61" s="109"/>
      <c r="N61" s="54"/>
      <c r="O61" s="109"/>
      <c r="P61" s="52"/>
      <c r="Q61" s="52"/>
      <c r="R61" s="52"/>
      <c r="S61" s="52"/>
      <c r="T61" s="52"/>
      <c r="U61" s="52"/>
      <c r="V61" s="52"/>
      <c r="W61" s="52"/>
      <c r="X61" s="84"/>
      <c r="Y61" s="84"/>
      <c r="Z61" s="80"/>
      <c r="AA61" s="141"/>
    </row>
    <row r="62" spans="1:27" ht="16" x14ac:dyDescent="0.2">
      <c r="A62" s="73">
        <v>91</v>
      </c>
      <c r="B62" s="45" t="s">
        <v>78</v>
      </c>
      <c r="C62" s="83">
        <v>211</v>
      </c>
      <c r="D62" s="75">
        <v>218</v>
      </c>
      <c r="E62" s="52">
        <f t="shared" si="0"/>
        <v>3.3175355450236969E-2</v>
      </c>
      <c r="F62" s="88">
        <v>212</v>
      </c>
      <c r="G62" s="52">
        <f t="shared" si="1"/>
        <v>2.8301886792452831E-2</v>
      </c>
      <c r="H62" s="90">
        <v>224</v>
      </c>
      <c r="I62" s="52">
        <f t="shared" si="2"/>
        <v>-2.6785714285714284E-2</v>
      </c>
      <c r="J62" s="75">
        <v>4536</v>
      </c>
      <c r="K62" s="88">
        <v>4509</v>
      </c>
      <c r="L62" s="54">
        <f t="shared" si="3"/>
        <v>5.9880239520958087E-3</v>
      </c>
      <c r="M62" s="83">
        <v>4692</v>
      </c>
      <c r="N62" s="54">
        <f t="shared" si="4"/>
        <v>-3.3248081841432228E-2</v>
      </c>
      <c r="O62" s="89">
        <v>5401</v>
      </c>
      <c r="P62" s="52">
        <f t="shared" si="5"/>
        <v>-0.16015552675430475</v>
      </c>
      <c r="Q62" s="52">
        <f t="shared" si="6"/>
        <v>4.8059964726631391E-2</v>
      </c>
      <c r="R62" s="52">
        <f t="shared" si="7"/>
        <v>4.6795298292304277E-2</v>
      </c>
      <c r="S62" s="52">
        <f t="shared" si="8"/>
        <v>1.2646664343271136E-3</v>
      </c>
      <c r="T62" s="52">
        <f t="shared" si="9"/>
        <v>4.5183290707587385E-2</v>
      </c>
      <c r="U62" s="52">
        <f t="shared" si="10"/>
        <v>2.8766740190440052E-3</v>
      </c>
      <c r="V62" s="52">
        <f t="shared" si="11"/>
        <v>4.1473801147935564E-2</v>
      </c>
      <c r="W62" s="52">
        <f t="shared" si="12"/>
        <v>6.5861635786958264E-3</v>
      </c>
      <c r="X62" s="84">
        <v>0.36359999999999998</v>
      </c>
      <c r="Y62" s="84">
        <v>0.29459999999999997</v>
      </c>
      <c r="Z62" s="92"/>
      <c r="AA62" s="142"/>
    </row>
    <row r="63" spans="1:27" ht="16" x14ac:dyDescent="0.2">
      <c r="A63" s="73">
        <v>92</v>
      </c>
      <c r="B63" s="45" t="s">
        <v>14</v>
      </c>
      <c r="C63" s="103"/>
      <c r="D63" s="103"/>
      <c r="E63" s="52"/>
      <c r="F63" s="52"/>
      <c r="G63" s="52"/>
      <c r="H63" s="103"/>
      <c r="I63" s="52"/>
      <c r="J63" s="103"/>
      <c r="K63" s="52"/>
      <c r="L63" s="54"/>
      <c r="M63" s="103"/>
      <c r="N63" s="54"/>
      <c r="O63" s="103"/>
      <c r="P63" s="52"/>
      <c r="Q63" s="52"/>
      <c r="R63" s="52"/>
      <c r="S63" s="52"/>
      <c r="T63" s="52"/>
      <c r="U63" s="52"/>
      <c r="V63" s="52"/>
      <c r="W63" s="52"/>
      <c r="X63" s="84"/>
      <c r="Y63" s="84"/>
      <c r="Z63" s="80"/>
      <c r="AA63" s="141"/>
    </row>
  </sheetData>
  <pageMargins left="0.7" right="0.7" top="0.75" bottom="0.75" header="0.3" footer="0.3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B0BA0-B1CE-4492-BC03-1603BE00090B}">
  <dimension ref="A1:AA63"/>
  <sheetViews>
    <sheetView zoomScale="70" zoomScaleNormal="70" workbookViewId="0">
      <selection activeCell="Q18" sqref="Q18"/>
    </sheetView>
  </sheetViews>
  <sheetFormatPr baseColWidth="10" defaultColWidth="11.5" defaultRowHeight="15" x14ac:dyDescent="0.2"/>
  <cols>
    <col min="4" max="4" width="11.5" style="149"/>
    <col min="6" max="6" width="11.5" style="149"/>
    <col min="8" max="8" width="11.5" style="149"/>
    <col min="10" max="10" width="11.5" style="149"/>
    <col min="13" max="13" width="11.5" style="149"/>
    <col min="15" max="15" width="11.5" style="149"/>
  </cols>
  <sheetData>
    <row r="1" spans="1:27" x14ac:dyDescent="0.2">
      <c r="A1" s="17" t="s">
        <v>126</v>
      </c>
    </row>
    <row r="2" spans="1:27" ht="16" thickBot="1" x14ac:dyDescent="0.25"/>
    <row r="3" spans="1:27" ht="102" x14ac:dyDescent="0.2">
      <c r="A3" s="46" t="s">
        <v>16</v>
      </c>
      <c r="B3" s="47" t="s">
        <v>17</v>
      </c>
      <c r="C3" s="47" t="s">
        <v>127</v>
      </c>
      <c r="D3" s="47" t="s">
        <v>18</v>
      </c>
      <c r="E3" s="47" t="s">
        <v>0</v>
      </c>
      <c r="F3" s="47" t="s">
        <v>128</v>
      </c>
      <c r="G3" s="47" t="s">
        <v>19</v>
      </c>
      <c r="H3" s="47" t="s">
        <v>129</v>
      </c>
      <c r="I3" s="47" t="s">
        <v>20</v>
      </c>
      <c r="J3" s="47" t="s">
        <v>21</v>
      </c>
      <c r="K3" s="47" t="s">
        <v>130</v>
      </c>
      <c r="L3" s="47" t="s">
        <v>22</v>
      </c>
      <c r="M3" s="47" t="s">
        <v>131</v>
      </c>
      <c r="N3" s="47" t="s">
        <v>23</v>
      </c>
      <c r="O3" s="47" t="s">
        <v>132</v>
      </c>
      <c r="P3" s="47" t="s">
        <v>24</v>
      </c>
      <c r="Q3" s="47" t="s">
        <v>1</v>
      </c>
      <c r="R3" s="47" t="s">
        <v>90</v>
      </c>
      <c r="S3" s="47" t="s">
        <v>25</v>
      </c>
      <c r="T3" s="47" t="s">
        <v>91</v>
      </c>
      <c r="U3" s="47" t="s">
        <v>26</v>
      </c>
      <c r="V3" s="47" t="s">
        <v>92</v>
      </c>
      <c r="W3" s="47" t="s">
        <v>27</v>
      </c>
      <c r="X3" s="47" t="s">
        <v>28</v>
      </c>
      <c r="Y3" s="47" t="s">
        <v>29</v>
      </c>
      <c r="Z3" s="47" t="s">
        <v>30</v>
      </c>
      <c r="AA3" s="48" t="s">
        <v>31</v>
      </c>
    </row>
    <row r="4" spans="1:27" ht="16" x14ac:dyDescent="0.2">
      <c r="A4" s="71"/>
      <c r="B4" s="49" t="s">
        <v>32</v>
      </c>
      <c r="C4" s="50">
        <v>53995</v>
      </c>
      <c r="D4" s="150">
        <v>54416</v>
      </c>
      <c r="E4" s="52">
        <f>(D4-C4)/C4</f>
        <v>7.797018242429855E-3</v>
      </c>
      <c r="F4" s="157">
        <v>50308</v>
      </c>
      <c r="G4" s="52">
        <f>(D4-F4)/F4</f>
        <v>8.1656992923590688E-2</v>
      </c>
      <c r="H4" s="157">
        <v>43964</v>
      </c>
      <c r="I4" s="52">
        <f>(D4-H4)/H4</f>
        <v>0.23773996906559913</v>
      </c>
      <c r="J4" s="150">
        <v>575983</v>
      </c>
      <c r="K4" s="50">
        <v>568986</v>
      </c>
      <c r="L4" s="54">
        <f>(J4-K4)/K4</f>
        <v>1.2297314872422169E-2</v>
      </c>
      <c r="M4" s="157">
        <v>552788</v>
      </c>
      <c r="N4" s="54">
        <f>(J4-M4)/M4</f>
        <v>4.1960028075862715E-2</v>
      </c>
      <c r="O4" s="157">
        <v>580483</v>
      </c>
      <c r="P4" s="52">
        <f>(J4-O4)/O4</f>
        <v>-7.7521650074162379E-3</v>
      </c>
      <c r="Q4" s="52">
        <f>(D4/J4)</f>
        <v>9.4475010547186294E-2</v>
      </c>
      <c r="R4" s="52">
        <f>(C4/K4)</f>
        <v>9.489688674238031E-2</v>
      </c>
      <c r="S4" s="52">
        <f>(Q4-R4)</f>
        <v>-4.2187619519401531E-4</v>
      </c>
      <c r="T4" s="52">
        <f>(F4/M4)</f>
        <v>9.1007764278529926E-2</v>
      </c>
      <c r="U4" s="52">
        <f>(Q4-T4)</f>
        <v>3.4672462686563682E-3</v>
      </c>
      <c r="V4" s="52">
        <f>(H4/O4)</f>
        <v>7.5736929419121662E-2</v>
      </c>
      <c r="W4" s="52">
        <f>(Q4-V4)</f>
        <v>1.8738081128064632E-2</v>
      </c>
      <c r="X4" s="54">
        <v>0.1394</v>
      </c>
      <c r="Y4" s="54">
        <v>0.14560000000000001</v>
      </c>
      <c r="Z4" s="72">
        <v>0.39229999999999998</v>
      </c>
      <c r="AA4" s="146">
        <v>0.39529999999999998</v>
      </c>
    </row>
    <row r="5" spans="1:27" ht="16" x14ac:dyDescent="0.2">
      <c r="A5" s="73">
        <v>5</v>
      </c>
      <c r="B5" s="45" t="s">
        <v>33</v>
      </c>
      <c r="C5" s="74">
        <v>581</v>
      </c>
      <c r="D5" s="151">
        <v>583</v>
      </c>
      <c r="E5" s="52">
        <f t="shared" ref="E5:E62" si="0">(D5-C5)/C5</f>
        <v>3.4423407917383822E-3</v>
      </c>
      <c r="F5" s="158">
        <v>458</v>
      </c>
      <c r="G5" s="52">
        <f t="shared" ref="G5:G62" si="1">(D5-F5)/F5</f>
        <v>0.27292576419213976</v>
      </c>
      <c r="H5" s="158">
        <v>378</v>
      </c>
      <c r="I5" s="52">
        <f t="shared" ref="I5:I62" si="2">(D5-H5)/H5</f>
        <v>0.54232804232804233</v>
      </c>
      <c r="J5" s="151">
        <v>5707</v>
      </c>
      <c r="K5" s="77">
        <v>5613</v>
      </c>
      <c r="L5" s="54">
        <f t="shared" ref="L5:L62" si="3">(J5-K5)/K5</f>
        <v>1.6746837698200605E-2</v>
      </c>
      <c r="M5" s="158">
        <v>5276</v>
      </c>
      <c r="N5" s="54">
        <f t="shared" ref="N5:N62" si="4">(J5-M5)/M5</f>
        <v>8.1690674753601214E-2</v>
      </c>
      <c r="O5" s="171">
        <v>5378</v>
      </c>
      <c r="P5" s="52">
        <f t="shared" ref="P5:P62" si="5">(J5-O5)/O5</f>
        <v>6.1175158051320191E-2</v>
      </c>
      <c r="Q5" s="52">
        <f t="shared" ref="Q5:Q62" si="6">(D5/J5)</f>
        <v>0.10215524794112493</v>
      </c>
      <c r="R5" s="52">
        <f t="shared" ref="R5:R62" si="7">(C5/K5)</f>
        <v>0.103509709602708</v>
      </c>
      <c r="S5" s="52">
        <f t="shared" ref="S5:S62" si="8">(Q5-R5)</f>
        <v>-1.3544616615830674E-3</v>
      </c>
      <c r="T5" s="52">
        <f t="shared" ref="T5:T62" si="9">(F5/M5)</f>
        <v>8.6808188021228208E-2</v>
      </c>
      <c r="U5" s="52">
        <f t="shared" ref="U5:U62" si="10">(Q5-T5)</f>
        <v>1.5347059919896724E-2</v>
      </c>
      <c r="V5" s="52">
        <f t="shared" ref="V5:V62" si="11">(H5/O5)</f>
        <v>7.0286351803644481E-2</v>
      </c>
      <c r="W5" s="52">
        <f t="shared" ref="W5:W62" si="12">(Q5-V5)</f>
        <v>3.1868896137480451E-2</v>
      </c>
      <c r="X5" s="79">
        <v>-0.73170000000000002</v>
      </c>
      <c r="Y5" s="72">
        <v>0.77669999999999995</v>
      </c>
      <c r="Z5" s="80">
        <v>0.5</v>
      </c>
      <c r="AA5" s="140">
        <v>0.35859999999999997</v>
      </c>
    </row>
    <row r="6" spans="1:27" ht="16" x14ac:dyDescent="0.2">
      <c r="A6" s="81">
        <v>6</v>
      </c>
      <c r="B6" s="59" t="s">
        <v>34</v>
      </c>
      <c r="C6" s="60">
        <v>161</v>
      </c>
      <c r="D6" s="152">
        <v>171</v>
      </c>
      <c r="E6" s="56">
        <f t="shared" si="0"/>
        <v>6.2111801242236024E-2</v>
      </c>
      <c r="F6" s="159">
        <v>126</v>
      </c>
      <c r="G6" s="56">
        <f t="shared" si="1"/>
        <v>0.35714285714285715</v>
      </c>
      <c r="H6" s="159">
        <v>229</v>
      </c>
      <c r="I6" s="56">
        <f t="shared" si="2"/>
        <v>-0.25327510917030566</v>
      </c>
      <c r="J6" s="152">
        <v>3415</v>
      </c>
      <c r="K6" s="63">
        <v>3425</v>
      </c>
      <c r="L6" s="57">
        <f t="shared" si="3"/>
        <v>-2.9197080291970801E-3</v>
      </c>
      <c r="M6" s="159">
        <v>3102</v>
      </c>
      <c r="N6" s="57">
        <f t="shared" si="4"/>
        <v>0.10090264345583494</v>
      </c>
      <c r="O6" s="172">
        <v>3320</v>
      </c>
      <c r="P6" s="56">
        <f t="shared" si="5"/>
        <v>2.86144578313253E-2</v>
      </c>
      <c r="Q6" s="56">
        <f t="shared" si="6"/>
        <v>5.0073206442166909E-2</v>
      </c>
      <c r="R6" s="56">
        <f t="shared" si="7"/>
        <v>4.7007299270072994E-2</v>
      </c>
      <c r="S6" s="56">
        <f t="shared" si="8"/>
        <v>3.0659071720939152E-3</v>
      </c>
      <c r="T6" s="56">
        <f t="shared" si="9"/>
        <v>4.0618955512572531E-2</v>
      </c>
      <c r="U6" s="56">
        <f t="shared" si="10"/>
        <v>9.454250929594378E-3</v>
      </c>
      <c r="V6" s="56">
        <f t="shared" si="11"/>
        <v>6.8975903614457837E-2</v>
      </c>
      <c r="W6" s="56">
        <f t="shared" si="12"/>
        <v>-1.8902697172290928E-2</v>
      </c>
      <c r="X6" s="57"/>
      <c r="Y6" s="57"/>
      <c r="Z6" s="65">
        <v>0.45450000000000002</v>
      </c>
      <c r="AA6" s="143">
        <v>0.51480000000000004</v>
      </c>
    </row>
    <row r="7" spans="1:27" ht="16" x14ac:dyDescent="0.2">
      <c r="A7" s="73">
        <v>8</v>
      </c>
      <c r="B7" s="45" t="s">
        <v>35</v>
      </c>
      <c r="C7" s="83">
        <v>269</v>
      </c>
      <c r="D7" s="151">
        <v>269</v>
      </c>
      <c r="E7" s="52">
        <f t="shared" si="0"/>
        <v>0</v>
      </c>
      <c r="F7" s="158">
        <v>270</v>
      </c>
      <c r="G7" s="52">
        <f t="shared" si="1"/>
        <v>-3.7037037037037038E-3</v>
      </c>
      <c r="H7" s="158">
        <v>265</v>
      </c>
      <c r="I7" s="52">
        <f t="shared" si="2"/>
        <v>1.509433962264151E-2</v>
      </c>
      <c r="J7" s="151">
        <v>5016</v>
      </c>
      <c r="K7" s="83">
        <v>4953</v>
      </c>
      <c r="L7" s="54">
        <f t="shared" si="3"/>
        <v>1.2719563900666263E-2</v>
      </c>
      <c r="M7" s="158">
        <v>5157</v>
      </c>
      <c r="N7" s="54">
        <f t="shared" si="4"/>
        <v>-2.7341477603257707E-2</v>
      </c>
      <c r="O7" s="157">
        <v>5460</v>
      </c>
      <c r="P7" s="52">
        <f t="shared" si="5"/>
        <v>-8.1318681318681321E-2</v>
      </c>
      <c r="Q7" s="52">
        <f t="shared" si="6"/>
        <v>5.3628389154704942E-2</v>
      </c>
      <c r="R7" s="52">
        <f t="shared" si="7"/>
        <v>5.4310518877448012E-2</v>
      </c>
      <c r="S7" s="52">
        <f t="shared" si="8"/>
        <v>-6.8212972274307032E-4</v>
      </c>
      <c r="T7" s="52">
        <f t="shared" si="9"/>
        <v>5.2356020942408377E-2</v>
      </c>
      <c r="U7" s="52">
        <f t="shared" si="10"/>
        <v>1.2723682122965652E-3</v>
      </c>
      <c r="V7" s="52">
        <f t="shared" si="11"/>
        <v>4.8534798534798536E-2</v>
      </c>
      <c r="W7" s="52">
        <f t="shared" si="12"/>
        <v>5.093590619906406E-3</v>
      </c>
      <c r="X7" s="57"/>
      <c r="Y7" s="57"/>
      <c r="Z7" s="80">
        <v>0.49020000000000002</v>
      </c>
      <c r="AA7" s="140">
        <v>0.50239999999999996</v>
      </c>
    </row>
    <row r="8" spans="1:27" ht="16" x14ac:dyDescent="0.2">
      <c r="A8" s="81">
        <v>10</v>
      </c>
      <c r="B8" s="59" t="s">
        <v>3</v>
      </c>
      <c r="C8" s="58"/>
      <c r="D8" s="153"/>
      <c r="E8" s="56"/>
      <c r="F8" s="153"/>
      <c r="G8" s="56"/>
      <c r="H8" s="153"/>
      <c r="I8" s="56"/>
      <c r="J8" s="153"/>
      <c r="K8" s="58"/>
      <c r="L8" s="57"/>
      <c r="M8" s="153"/>
      <c r="N8" s="57"/>
      <c r="O8" s="153"/>
      <c r="P8" s="56"/>
      <c r="Q8" s="56"/>
      <c r="R8" s="56"/>
      <c r="S8" s="56"/>
      <c r="T8" s="56"/>
      <c r="U8" s="56"/>
      <c r="V8" s="56"/>
      <c r="W8" s="56"/>
      <c r="X8" s="67"/>
      <c r="Y8" s="67"/>
      <c r="Z8" s="65"/>
      <c r="AA8" s="144"/>
    </row>
    <row r="9" spans="1:27" ht="16" x14ac:dyDescent="0.2">
      <c r="A9" s="73">
        <v>19</v>
      </c>
      <c r="B9" s="45" t="s">
        <v>4</v>
      </c>
      <c r="C9" s="55"/>
      <c r="D9" s="154"/>
      <c r="E9" s="52"/>
      <c r="F9" s="154"/>
      <c r="G9" s="52"/>
      <c r="H9" s="154"/>
      <c r="I9" s="52"/>
      <c r="J9" s="154"/>
      <c r="K9" s="55"/>
      <c r="L9" s="54"/>
      <c r="M9" s="154"/>
      <c r="N9" s="54"/>
      <c r="O9" s="154"/>
      <c r="P9" s="52"/>
      <c r="Q9" s="52"/>
      <c r="R9" s="52"/>
      <c r="S9" s="52"/>
      <c r="T9" s="52"/>
      <c r="U9" s="52"/>
      <c r="V9" s="52"/>
      <c r="W9" s="52"/>
      <c r="X9" s="84"/>
      <c r="Y9" s="84"/>
      <c r="Z9" s="80"/>
      <c r="AA9" s="141"/>
    </row>
    <row r="10" spans="1:27" ht="16" x14ac:dyDescent="0.2">
      <c r="A10" s="73">
        <v>20</v>
      </c>
      <c r="B10" s="45" t="s">
        <v>36</v>
      </c>
      <c r="C10" s="76">
        <v>307</v>
      </c>
      <c r="D10" s="151">
        <v>406</v>
      </c>
      <c r="E10" s="52">
        <f t="shared" si="0"/>
        <v>0.32247557003257327</v>
      </c>
      <c r="F10" s="158">
        <v>212</v>
      </c>
      <c r="G10" s="52">
        <f t="shared" si="1"/>
        <v>0.91509433962264153</v>
      </c>
      <c r="H10" s="157">
        <v>180</v>
      </c>
      <c r="I10" s="52">
        <f t="shared" si="2"/>
        <v>1.2555555555555555</v>
      </c>
      <c r="J10" s="151">
        <v>3983</v>
      </c>
      <c r="K10" s="76">
        <v>3942</v>
      </c>
      <c r="L10" s="54">
        <f t="shared" si="3"/>
        <v>1.0400811770674784E-2</v>
      </c>
      <c r="M10" s="158">
        <v>3661</v>
      </c>
      <c r="N10" s="54">
        <f t="shared" si="4"/>
        <v>8.7954110898661564E-2</v>
      </c>
      <c r="O10" s="157">
        <v>4112</v>
      </c>
      <c r="P10" s="52">
        <f t="shared" si="5"/>
        <v>-3.1371595330739299E-2</v>
      </c>
      <c r="Q10" s="52">
        <f t="shared" si="6"/>
        <v>0.10193321616871705</v>
      </c>
      <c r="R10" s="52">
        <f t="shared" si="7"/>
        <v>7.787924911212582E-2</v>
      </c>
      <c r="S10" s="52">
        <f t="shared" si="8"/>
        <v>2.4053967056591227E-2</v>
      </c>
      <c r="T10" s="52">
        <f t="shared" si="9"/>
        <v>5.7907675498497679E-2</v>
      </c>
      <c r="U10" s="52">
        <f t="shared" si="10"/>
        <v>4.4025540670219368E-2</v>
      </c>
      <c r="V10" s="52">
        <f t="shared" si="11"/>
        <v>4.3774319066147857E-2</v>
      </c>
      <c r="W10" s="52">
        <f t="shared" si="12"/>
        <v>5.815889710256919E-2</v>
      </c>
      <c r="X10" s="87"/>
      <c r="Y10" s="72"/>
      <c r="Z10" s="80">
        <v>0.439</v>
      </c>
      <c r="AA10" s="140">
        <v>0.46579999999999999</v>
      </c>
    </row>
    <row r="11" spans="1:27" ht="16" x14ac:dyDescent="0.2">
      <c r="A11" s="81">
        <v>22</v>
      </c>
      <c r="B11" s="59" t="s">
        <v>37</v>
      </c>
      <c r="C11" s="62">
        <v>1190</v>
      </c>
      <c r="D11" s="152">
        <v>1171</v>
      </c>
      <c r="E11" s="56">
        <f t="shared" si="0"/>
        <v>-1.5966386554621848E-2</v>
      </c>
      <c r="F11" s="159">
        <v>1069</v>
      </c>
      <c r="G11" s="56">
        <f t="shared" si="1"/>
        <v>9.5416276894293731E-2</v>
      </c>
      <c r="H11" s="159">
        <v>953</v>
      </c>
      <c r="I11" s="56">
        <f t="shared" si="2"/>
        <v>0.22875131164742918</v>
      </c>
      <c r="J11" s="152">
        <v>8794</v>
      </c>
      <c r="K11" s="68">
        <v>8654</v>
      </c>
      <c r="L11" s="57">
        <f t="shared" si="3"/>
        <v>1.6177490177952392E-2</v>
      </c>
      <c r="M11" s="168">
        <v>8246</v>
      </c>
      <c r="N11" s="57">
        <f t="shared" si="4"/>
        <v>6.6456463739995156E-2</v>
      </c>
      <c r="O11" s="173">
        <v>8752</v>
      </c>
      <c r="P11" s="56">
        <f t="shared" si="5"/>
        <v>4.7989031078610606E-3</v>
      </c>
      <c r="Q11" s="56">
        <f t="shared" si="6"/>
        <v>0.13315897202638163</v>
      </c>
      <c r="R11" s="56">
        <f t="shared" si="7"/>
        <v>0.13750866651259533</v>
      </c>
      <c r="S11" s="56">
        <f t="shared" si="8"/>
        <v>-4.3496944862136955E-3</v>
      </c>
      <c r="T11" s="56">
        <f t="shared" si="9"/>
        <v>0.12963861266068397</v>
      </c>
      <c r="U11" s="56">
        <f t="shared" si="10"/>
        <v>3.5203593656976673E-3</v>
      </c>
      <c r="V11" s="56">
        <f t="shared" si="11"/>
        <v>0.10888939670932359</v>
      </c>
      <c r="W11" s="56">
        <f t="shared" si="12"/>
        <v>2.4269575317058048E-2</v>
      </c>
      <c r="X11" s="66">
        <v>0.1134</v>
      </c>
      <c r="Y11" s="66">
        <v>9.0399999999999994E-2</v>
      </c>
      <c r="Z11" s="65">
        <v>0.29630000000000001</v>
      </c>
      <c r="AA11" s="143">
        <v>0.32969999999999999</v>
      </c>
    </row>
    <row r="12" spans="1:27" ht="16" x14ac:dyDescent="0.2">
      <c r="A12" s="73">
        <v>23</v>
      </c>
      <c r="B12" s="45" t="s">
        <v>38</v>
      </c>
      <c r="C12" s="76">
        <v>2634</v>
      </c>
      <c r="D12" s="151">
        <v>2735</v>
      </c>
      <c r="E12" s="52">
        <f t="shared" si="0"/>
        <v>3.8344722854973423E-2</v>
      </c>
      <c r="F12" s="160">
        <v>2281</v>
      </c>
      <c r="G12" s="52">
        <f t="shared" si="1"/>
        <v>0.19903551074090312</v>
      </c>
      <c r="H12" s="164">
        <v>1859</v>
      </c>
      <c r="I12" s="52">
        <f t="shared" si="2"/>
        <v>0.471221086605702</v>
      </c>
      <c r="J12" s="151">
        <v>23209</v>
      </c>
      <c r="K12" s="91">
        <v>22735</v>
      </c>
      <c r="L12" s="54">
        <f t="shared" si="3"/>
        <v>2.0848911370134154E-2</v>
      </c>
      <c r="M12" s="169">
        <v>21327</v>
      </c>
      <c r="N12" s="54">
        <f t="shared" si="4"/>
        <v>8.8244947718854036E-2</v>
      </c>
      <c r="O12" s="174">
        <v>21822</v>
      </c>
      <c r="P12" s="52">
        <f t="shared" si="5"/>
        <v>6.355971038401613E-2</v>
      </c>
      <c r="Q12" s="52">
        <f t="shared" si="6"/>
        <v>0.11784221638157612</v>
      </c>
      <c r="R12" s="52">
        <f t="shared" si="7"/>
        <v>0.11585660875302398</v>
      </c>
      <c r="S12" s="52">
        <f t="shared" si="8"/>
        <v>1.9856076285521412E-3</v>
      </c>
      <c r="T12" s="52">
        <f t="shared" si="9"/>
        <v>0.10695362685797347</v>
      </c>
      <c r="U12" s="52">
        <f t="shared" si="10"/>
        <v>1.0888589523602651E-2</v>
      </c>
      <c r="V12" s="52">
        <f t="shared" si="11"/>
        <v>8.5189258546421037E-2</v>
      </c>
      <c r="W12" s="52">
        <f t="shared" si="12"/>
        <v>3.265295783515508E-2</v>
      </c>
      <c r="X12" s="72">
        <v>4.02E-2</v>
      </c>
      <c r="Y12" s="72">
        <v>0.1326</v>
      </c>
      <c r="Z12" s="80">
        <v>0.37009999999999998</v>
      </c>
      <c r="AA12" s="140">
        <v>0.29260000000000003</v>
      </c>
    </row>
    <row r="13" spans="1:27" ht="16" x14ac:dyDescent="0.2">
      <c r="A13" s="73">
        <v>27</v>
      </c>
      <c r="B13" s="45" t="s">
        <v>39</v>
      </c>
      <c r="C13" s="76">
        <v>407</v>
      </c>
      <c r="D13" s="151">
        <v>407</v>
      </c>
      <c r="E13" s="52">
        <f t="shared" si="0"/>
        <v>0</v>
      </c>
      <c r="F13" s="160">
        <v>305</v>
      </c>
      <c r="G13" s="52">
        <f t="shared" si="1"/>
        <v>0.33442622950819673</v>
      </c>
      <c r="H13" s="164">
        <v>318</v>
      </c>
      <c r="I13" s="52">
        <f t="shared" si="2"/>
        <v>0.27987421383647798</v>
      </c>
      <c r="J13" s="151">
        <v>4645</v>
      </c>
      <c r="K13" s="78">
        <v>4743</v>
      </c>
      <c r="L13" s="54">
        <f t="shared" si="3"/>
        <v>-2.0662028252161079E-2</v>
      </c>
      <c r="M13" s="169">
        <v>4641</v>
      </c>
      <c r="N13" s="54">
        <f t="shared" si="4"/>
        <v>8.6188321482439127E-4</v>
      </c>
      <c r="O13" s="174">
        <v>6055</v>
      </c>
      <c r="P13" s="52">
        <f t="shared" si="5"/>
        <v>-0.23286540049545829</v>
      </c>
      <c r="Q13" s="52">
        <f t="shared" si="6"/>
        <v>8.7621097954790103E-2</v>
      </c>
      <c r="R13" s="52">
        <f t="shared" si="7"/>
        <v>8.5810668353362846E-2</v>
      </c>
      <c r="S13" s="52">
        <f t="shared" si="8"/>
        <v>1.8104296014272575E-3</v>
      </c>
      <c r="T13" s="52">
        <f t="shared" si="9"/>
        <v>6.5718595130359839E-2</v>
      </c>
      <c r="U13" s="52">
        <f t="shared" si="10"/>
        <v>2.1902502824430264E-2</v>
      </c>
      <c r="V13" s="52">
        <f t="shared" si="11"/>
        <v>5.2518579686209745E-2</v>
      </c>
      <c r="W13" s="52">
        <f t="shared" si="12"/>
        <v>3.5102518268580359E-2</v>
      </c>
      <c r="X13" s="72">
        <v>0.20449999999999999</v>
      </c>
      <c r="Y13" s="72">
        <v>0.1825</v>
      </c>
      <c r="Z13" s="92">
        <v>0.42859999999999998</v>
      </c>
      <c r="AA13" s="142">
        <v>0.42330000000000001</v>
      </c>
    </row>
    <row r="14" spans="1:27" ht="16" x14ac:dyDescent="0.2">
      <c r="A14" s="73">
        <v>28</v>
      </c>
      <c r="B14" s="45" t="s">
        <v>40</v>
      </c>
      <c r="C14" s="83">
        <v>194</v>
      </c>
      <c r="D14" s="151">
        <v>203</v>
      </c>
      <c r="E14" s="52">
        <f t="shared" si="0"/>
        <v>4.6391752577319589E-2</v>
      </c>
      <c r="F14" s="160">
        <v>190</v>
      </c>
      <c r="G14" s="52">
        <f t="shared" si="1"/>
        <v>6.8421052631578952E-2</v>
      </c>
      <c r="H14" s="164">
        <v>213</v>
      </c>
      <c r="I14" s="52">
        <f t="shared" si="2"/>
        <v>-4.6948356807511735E-2</v>
      </c>
      <c r="J14" s="151">
        <v>2992</v>
      </c>
      <c r="K14" s="93">
        <v>2963</v>
      </c>
      <c r="L14" s="54">
        <f t="shared" si="3"/>
        <v>9.7873776577792771E-3</v>
      </c>
      <c r="M14" s="169">
        <v>3046</v>
      </c>
      <c r="N14" s="54">
        <f t="shared" si="4"/>
        <v>-1.772816808929744E-2</v>
      </c>
      <c r="O14" s="174">
        <v>3962</v>
      </c>
      <c r="P14" s="52">
        <f t="shared" si="5"/>
        <v>-0.24482584553255932</v>
      </c>
      <c r="Q14" s="52">
        <f t="shared" si="6"/>
        <v>6.7847593582887694E-2</v>
      </c>
      <c r="R14" s="52">
        <f t="shared" si="7"/>
        <v>6.5474181572730342E-2</v>
      </c>
      <c r="S14" s="52">
        <f t="shared" si="8"/>
        <v>2.3734120101573525E-3</v>
      </c>
      <c r="T14" s="52">
        <f t="shared" si="9"/>
        <v>6.2376887721602103E-2</v>
      </c>
      <c r="U14" s="52">
        <f t="shared" si="10"/>
        <v>5.4707058612855908E-3</v>
      </c>
      <c r="V14" s="52">
        <f t="shared" si="11"/>
        <v>5.3760726905603233E-2</v>
      </c>
      <c r="W14" s="52">
        <f t="shared" si="12"/>
        <v>1.4086866677284461E-2</v>
      </c>
      <c r="X14" s="72">
        <v>0.16669999999999999</v>
      </c>
      <c r="Y14" s="72">
        <v>0.2329</v>
      </c>
      <c r="Z14" s="80">
        <v>0.5</v>
      </c>
      <c r="AA14" s="140">
        <v>0.42880000000000001</v>
      </c>
    </row>
    <row r="15" spans="1:27" ht="16" x14ac:dyDescent="0.2">
      <c r="A15" s="73">
        <v>33</v>
      </c>
      <c r="B15" s="45" t="s">
        <v>41</v>
      </c>
      <c r="C15" s="83">
        <v>666</v>
      </c>
      <c r="D15" s="151">
        <v>696</v>
      </c>
      <c r="E15" s="52">
        <f t="shared" si="0"/>
        <v>4.5045045045045043E-2</v>
      </c>
      <c r="F15" s="160">
        <v>497</v>
      </c>
      <c r="G15" s="52">
        <f t="shared" si="1"/>
        <v>0.40040241448692154</v>
      </c>
      <c r="H15" s="164">
        <v>482</v>
      </c>
      <c r="I15" s="52">
        <f t="shared" si="2"/>
        <v>0.44398340248962653</v>
      </c>
      <c r="J15" s="151">
        <v>13734</v>
      </c>
      <c r="K15" s="93">
        <v>13664</v>
      </c>
      <c r="L15" s="54">
        <f t="shared" si="3"/>
        <v>5.1229508196721308E-3</v>
      </c>
      <c r="M15" s="169">
        <v>12975</v>
      </c>
      <c r="N15" s="54">
        <f t="shared" si="4"/>
        <v>5.8497109826589594E-2</v>
      </c>
      <c r="O15" s="174">
        <v>14018</v>
      </c>
      <c r="P15" s="52">
        <f t="shared" si="5"/>
        <v>-2.0259666143529746E-2</v>
      </c>
      <c r="Q15" s="52">
        <f t="shared" si="6"/>
        <v>5.0677151594582789E-2</v>
      </c>
      <c r="R15" s="52">
        <f t="shared" si="7"/>
        <v>4.8741217798594846E-2</v>
      </c>
      <c r="S15" s="52">
        <f t="shared" si="8"/>
        <v>1.935933795987943E-3</v>
      </c>
      <c r="T15" s="52">
        <f t="shared" si="9"/>
        <v>3.8304431599229284E-2</v>
      </c>
      <c r="U15" s="52">
        <f t="shared" si="10"/>
        <v>1.2372719995353505E-2</v>
      </c>
      <c r="V15" s="52">
        <f t="shared" si="11"/>
        <v>3.4384362961906119E-2</v>
      </c>
      <c r="W15" s="52">
        <f t="shared" si="12"/>
        <v>1.629278863267667E-2</v>
      </c>
      <c r="X15" s="72"/>
      <c r="Y15" s="72"/>
      <c r="Z15" s="80">
        <v>0.39290000000000003</v>
      </c>
      <c r="AA15" s="140">
        <v>0.33800000000000002</v>
      </c>
    </row>
    <row r="16" spans="1:27" ht="16" x14ac:dyDescent="0.2">
      <c r="A16" s="73">
        <v>34</v>
      </c>
      <c r="B16" s="45" t="s">
        <v>42</v>
      </c>
      <c r="C16" s="83">
        <v>1352</v>
      </c>
      <c r="D16" s="151">
        <v>1280</v>
      </c>
      <c r="E16" s="52">
        <f t="shared" si="0"/>
        <v>-5.3254437869822487E-2</v>
      </c>
      <c r="F16" s="160">
        <v>1245</v>
      </c>
      <c r="G16" s="52">
        <f t="shared" si="1"/>
        <v>2.8112449799196786E-2</v>
      </c>
      <c r="H16" s="164">
        <v>1107</v>
      </c>
      <c r="I16" s="52">
        <f t="shared" si="2"/>
        <v>0.15627822944896116</v>
      </c>
      <c r="J16" s="151">
        <v>20201</v>
      </c>
      <c r="K16" s="93">
        <v>19805</v>
      </c>
      <c r="L16" s="54">
        <f t="shared" si="3"/>
        <v>1.9994950770007573E-2</v>
      </c>
      <c r="M16" s="169">
        <v>19292</v>
      </c>
      <c r="N16" s="54">
        <f t="shared" si="4"/>
        <v>4.711797636325938E-2</v>
      </c>
      <c r="O16" s="174">
        <v>19509</v>
      </c>
      <c r="P16" s="52">
        <f t="shared" si="5"/>
        <v>3.5470808344866475E-2</v>
      </c>
      <c r="Q16" s="52">
        <f t="shared" si="6"/>
        <v>6.3363199841591999E-2</v>
      </c>
      <c r="R16" s="52">
        <f t="shared" si="7"/>
        <v>6.8265589497601614E-2</v>
      </c>
      <c r="S16" s="52">
        <f t="shared" si="8"/>
        <v>-4.9023896560096147E-3</v>
      </c>
      <c r="T16" s="52">
        <f t="shared" si="9"/>
        <v>6.4534522081691886E-2</v>
      </c>
      <c r="U16" s="52">
        <f t="shared" si="10"/>
        <v>-1.1713222400998868E-3</v>
      </c>
      <c r="V16" s="52">
        <f t="shared" si="11"/>
        <v>5.6743041673073966E-2</v>
      </c>
      <c r="W16" s="52">
        <f t="shared" si="12"/>
        <v>6.6201581685180338E-3</v>
      </c>
      <c r="X16" s="84">
        <v>0.3276</v>
      </c>
      <c r="Y16" s="84">
        <v>0.28270000000000001</v>
      </c>
      <c r="Z16" s="80">
        <v>5.4300000000000001E-2</v>
      </c>
      <c r="AA16" s="140">
        <v>0.25480000000000003</v>
      </c>
    </row>
    <row r="17" spans="1:27" ht="16" x14ac:dyDescent="0.2">
      <c r="A17" s="73">
        <v>35</v>
      </c>
      <c r="B17" s="45" t="s">
        <v>43</v>
      </c>
      <c r="C17" s="83">
        <v>1473</v>
      </c>
      <c r="D17" s="151">
        <v>1451</v>
      </c>
      <c r="E17" s="52">
        <f t="shared" si="0"/>
        <v>-1.493550577053632E-2</v>
      </c>
      <c r="F17" s="160">
        <v>1443</v>
      </c>
      <c r="G17" s="52">
        <f t="shared" si="1"/>
        <v>5.544005544005544E-3</v>
      </c>
      <c r="H17" s="164">
        <v>1416</v>
      </c>
      <c r="I17" s="52">
        <f t="shared" si="2"/>
        <v>2.4717514124293787E-2</v>
      </c>
      <c r="J17" s="151">
        <v>22451</v>
      </c>
      <c r="K17" s="93">
        <v>22186</v>
      </c>
      <c r="L17" s="54">
        <f t="shared" si="3"/>
        <v>1.1944469485260975E-2</v>
      </c>
      <c r="M17" s="169">
        <v>20204</v>
      </c>
      <c r="N17" s="54">
        <f t="shared" si="4"/>
        <v>0.11121560087111464</v>
      </c>
      <c r="O17" s="174">
        <v>19788</v>
      </c>
      <c r="P17" s="52">
        <f t="shared" si="5"/>
        <v>0.13457651101677784</v>
      </c>
      <c r="Q17" s="52">
        <f t="shared" si="6"/>
        <v>6.4629637878045515E-2</v>
      </c>
      <c r="R17" s="52">
        <f t="shared" si="7"/>
        <v>6.639322095014874E-2</v>
      </c>
      <c r="S17" s="52">
        <f t="shared" si="8"/>
        <v>-1.7635830721032253E-3</v>
      </c>
      <c r="T17" s="52">
        <f t="shared" si="9"/>
        <v>7.1421500692932099E-2</v>
      </c>
      <c r="U17" s="52">
        <f t="shared" si="10"/>
        <v>-6.7918628148865845E-3</v>
      </c>
      <c r="V17" s="52">
        <f t="shared" si="11"/>
        <v>7.1558520315342627E-2</v>
      </c>
      <c r="W17" s="52">
        <f t="shared" si="12"/>
        <v>-6.9288824372971125E-3</v>
      </c>
      <c r="X17" s="84">
        <v>0.18890000000000001</v>
      </c>
      <c r="Y17" s="84">
        <v>7.8399999999999997E-2</v>
      </c>
      <c r="Z17" s="80">
        <v>0.47849999999999998</v>
      </c>
      <c r="AA17" s="140">
        <v>0.51080000000000003</v>
      </c>
    </row>
    <row r="18" spans="1:27" ht="16" x14ac:dyDescent="0.2">
      <c r="A18" s="73">
        <v>36</v>
      </c>
      <c r="B18" s="45" t="s">
        <v>44</v>
      </c>
      <c r="C18" s="76">
        <v>3239</v>
      </c>
      <c r="D18" s="151">
        <v>3221</v>
      </c>
      <c r="E18" s="52">
        <f t="shared" si="0"/>
        <v>-5.5572707625810439E-3</v>
      </c>
      <c r="F18" s="160">
        <v>3357</v>
      </c>
      <c r="G18" s="52">
        <f t="shared" si="1"/>
        <v>-4.0512362228179923E-2</v>
      </c>
      <c r="H18" s="164">
        <v>2897</v>
      </c>
      <c r="I18" s="52">
        <f t="shared" si="2"/>
        <v>0.11183983431135658</v>
      </c>
      <c r="J18" s="151">
        <v>75605</v>
      </c>
      <c r="K18" s="94">
        <v>73639</v>
      </c>
      <c r="L18" s="54">
        <f t="shared" si="3"/>
        <v>2.6697809584595118E-2</v>
      </c>
      <c r="M18" s="169">
        <v>70765</v>
      </c>
      <c r="N18" s="54">
        <f t="shared" si="4"/>
        <v>6.8395393202854524E-2</v>
      </c>
      <c r="O18" s="174">
        <v>69109</v>
      </c>
      <c r="P18" s="52">
        <f t="shared" si="5"/>
        <v>9.3996440405735862E-2</v>
      </c>
      <c r="Q18" s="52">
        <f t="shared" si="6"/>
        <v>4.2603002446928114E-2</v>
      </c>
      <c r="R18" s="52">
        <f t="shared" si="7"/>
        <v>4.3984844987031327E-2</v>
      </c>
      <c r="S18" s="52">
        <f t="shared" si="8"/>
        <v>-1.3818425401032133E-3</v>
      </c>
      <c r="T18" s="52">
        <f t="shared" si="9"/>
        <v>4.7438705574789797E-2</v>
      </c>
      <c r="U18" s="52">
        <f t="shared" si="10"/>
        <v>-4.8357031278616833E-3</v>
      </c>
      <c r="V18" s="52">
        <f t="shared" si="11"/>
        <v>4.1919286923555545E-2</v>
      </c>
      <c r="W18" s="52">
        <f t="shared" si="12"/>
        <v>6.8371552337256891E-4</v>
      </c>
      <c r="X18" s="84">
        <v>0.18179999999999999</v>
      </c>
      <c r="Y18" s="84">
        <v>0.15529999999999999</v>
      </c>
      <c r="Z18" s="80">
        <v>0.3553</v>
      </c>
      <c r="AA18" s="146">
        <v>0.28110000000000002</v>
      </c>
    </row>
    <row r="19" spans="1:27" ht="16" x14ac:dyDescent="0.2">
      <c r="A19" s="73">
        <v>37</v>
      </c>
      <c r="B19" s="45" t="s">
        <v>45</v>
      </c>
      <c r="C19" s="83">
        <v>2033</v>
      </c>
      <c r="D19" s="151">
        <v>2051</v>
      </c>
      <c r="E19" s="52">
        <f t="shared" si="0"/>
        <v>8.8539104771273979E-3</v>
      </c>
      <c r="F19" s="160">
        <v>2047</v>
      </c>
      <c r="G19" s="52">
        <f t="shared" si="1"/>
        <v>1.9540791402051783E-3</v>
      </c>
      <c r="H19" s="164">
        <v>1889</v>
      </c>
      <c r="I19" s="52">
        <f t="shared" si="2"/>
        <v>8.5759661196400216E-2</v>
      </c>
      <c r="J19" s="151">
        <v>16681</v>
      </c>
      <c r="K19" s="88">
        <v>16525</v>
      </c>
      <c r="L19" s="54">
        <f t="shared" si="3"/>
        <v>9.4402420574886542E-3</v>
      </c>
      <c r="M19" s="169">
        <v>15978</v>
      </c>
      <c r="N19" s="54">
        <f t="shared" si="4"/>
        <v>4.3997997246213547E-2</v>
      </c>
      <c r="O19" s="174">
        <v>16795</v>
      </c>
      <c r="P19" s="52">
        <f t="shared" si="5"/>
        <v>-6.7877344447752307E-3</v>
      </c>
      <c r="Q19" s="52">
        <f t="shared" si="6"/>
        <v>0.12295425933697021</v>
      </c>
      <c r="R19" s="52">
        <f t="shared" si="7"/>
        <v>0.12302571860816944</v>
      </c>
      <c r="S19" s="52">
        <f t="shared" si="8"/>
        <v>-7.1459271199225682E-5</v>
      </c>
      <c r="T19" s="52">
        <f t="shared" si="9"/>
        <v>0.12811365627738139</v>
      </c>
      <c r="U19" s="52">
        <f t="shared" si="10"/>
        <v>-5.1593969404111761E-3</v>
      </c>
      <c r="V19" s="52">
        <f t="shared" si="11"/>
        <v>0.11247395058052992</v>
      </c>
      <c r="W19" s="52">
        <f t="shared" si="12"/>
        <v>1.0480308756440293E-2</v>
      </c>
      <c r="X19" s="72">
        <v>0.13689999999999999</v>
      </c>
      <c r="Y19" s="72">
        <v>0.1197</v>
      </c>
      <c r="Z19" s="80">
        <v>0.37969999999999998</v>
      </c>
      <c r="AA19" s="140">
        <v>0.36749999999999999</v>
      </c>
    </row>
    <row r="20" spans="1:27" ht="16" x14ac:dyDescent="0.2">
      <c r="A20" s="73">
        <v>38</v>
      </c>
      <c r="B20" s="45" t="s">
        <v>46</v>
      </c>
      <c r="C20" s="83">
        <v>2318</v>
      </c>
      <c r="D20" s="151">
        <v>2368</v>
      </c>
      <c r="E20" s="52">
        <f t="shared" si="0"/>
        <v>2.1570319240724764E-2</v>
      </c>
      <c r="F20" s="160">
        <v>2255</v>
      </c>
      <c r="G20" s="52">
        <f t="shared" si="1"/>
        <v>5.0110864745011086E-2</v>
      </c>
      <c r="H20" s="164">
        <v>2428</v>
      </c>
      <c r="I20" s="52">
        <f t="shared" si="2"/>
        <v>-2.4711696869851731E-2</v>
      </c>
      <c r="J20" s="151">
        <v>21094</v>
      </c>
      <c r="K20" s="88">
        <v>20960</v>
      </c>
      <c r="L20" s="54">
        <f t="shared" si="3"/>
        <v>6.3931297709923663E-3</v>
      </c>
      <c r="M20" s="169">
        <v>21305</v>
      </c>
      <c r="N20" s="54">
        <f t="shared" si="4"/>
        <v>-9.9037784557615589E-3</v>
      </c>
      <c r="O20" s="174">
        <v>22971</v>
      </c>
      <c r="P20" s="52">
        <f t="shared" si="5"/>
        <v>-8.1711723477428055E-2</v>
      </c>
      <c r="Q20" s="52">
        <f t="shared" si="6"/>
        <v>0.11225941025884138</v>
      </c>
      <c r="R20" s="52">
        <f t="shared" si="7"/>
        <v>0.11059160305343511</v>
      </c>
      <c r="S20" s="52">
        <f t="shared" si="8"/>
        <v>1.6678072054062687E-3</v>
      </c>
      <c r="T20" s="52">
        <f t="shared" si="9"/>
        <v>0.10584369866228585</v>
      </c>
      <c r="U20" s="52">
        <f t="shared" si="10"/>
        <v>6.4157115965555317E-3</v>
      </c>
      <c r="V20" s="52">
        <f t="shared" si="11"/>
        <v>0.10569848939967785</v>
      </c>
      <c r="W20" s="52">
        <f t="shared" si="12"/>
        <v>6.5609208591635299E-3</v>
      </c>
      <c r="X20" s="84">
        <v>0.1444</v>
      </c>
      <c r="Y20" s="84">
        <v>0.16320000000000001</v>
      </c>
      <c r="Z20" s="80">
        <v>0.33610000000000001</v>
      </c>
      <c r="AA20" s="140">
        <v>0.24890000000000001</v>
      </c>
    </row>
    <row r="21" spans="1:27" ht="16" x14ac:dyDescent="0.2">
      <c r="A21" s="73">
        <v>39</v>
      </c>
      <c r="B21" s="45" t="s">
        <v>47</v>
      </c>
      <c r="C21" s="76">
        <v>5161</v>
      </c>
      <c r="D21" s="151">
        <v>5218</v>
      </c>
      <c r="E21" s="52">
        <f t="shared" si="0"/>
        <v>1.1044371245882581E-2</v>
      </c>
      <c r="F21" s="160">
        <v>4912</v>
      </c>
      <c r="G21" s="52">
        <f t="shared" si="1"/>
        <v>6.2296416938110749E-2</v>
      </c>
      <c r="H21" s="164">
        <v>4664</v>
      </c>
      <c r="I21" s="52">
        <f t="shared" si="2"/>
        <v>0.11878216123499143</v>
      </c>
      <c r="J21" s="151">
        <v>51759</v>
      </c>
      <c r="K21" s="88">
        <v>51802</v>
      </c>
      <c r="L21" s="54">
        <f t="shared" si="3"/>
        <v>-8.3008378054901357E-4</v>
      </c>
      <c r="M21" s="169">
        <v>54341</v>
      </c>
      <c r="N21" s="54">
        <f t="shared" si="4"/>
        <v>-4.7514767854842571E-2</v>
      </c>
      <c r="O21" s="174">
        <v>59978</v>
      </c>
      <c r="P21" s="52">
        <f t="shared" si="5"/>
        <v>-0.13703357897895896</v>
      </c>
      <c r="Q21" s="52">
        <f t="shared" si="6"/>
        <v>0.100813385111768</v>
      </c>
      <c r="R21" s="52">
        <f t="shared" si="7"/>
        <v>9.9629357939847882E-2</v>
      </c>
      <c r="S21" s="52">
        <f t="shared" si="8"/>
        <v>1.1840271719201212E-3</v>
      </c>
      <c r="T21" s="52">
        <f t="shared" si="9"/>
        <v>9.0392153254448757E-2</v>
      </c>
      <c r="U21" s="52">
        <f t="shared" si="10"/>
        <v>1.0421231857319246E-2</v>
      </c>
      <c r="V21" s="52">
        <f t="shared" si="11"/>
        <v>7.7761846010203736E-2</v>
      </c>
      <c r="W21" s="52">
        <f t="shared" si="12"/>
        <v>2.3051539101564267E-2</v>
      </c>
      <c r="X21" s="84">
        <v>0.14330000000000001</v>
      </c>
      <c r="Y21" s="84">
        <v>0.1736</v>
      </c>
      <c r="Z21" s="80">
        <v>0.5</v>
      </c>
      <c r="AA21" s="140">
        <v>0.47870000000000001</v>
      </c>
    </row>
    <row r="22" spans="1:27" ht="16" x14ac:dyDescent="0.2">
      <c r="A22" s="73">
        <v>40</v>
      </c>
      <c r="B22" s="45" t="s">
        <v>48</v>
      </c>
      <c r="C22" s="83">
        <v>1011</v>
      </c>
      <c r="D22" s="151">
        <v>1010</v>
      </c>
      <c r="E22" s="52">
        <f t="shared" si="0"/>
        <v>-9.8911968348170125E-4</v>
      </c>
      <c r="F22" s="160">
        <v>984</v>
      </c>
      <c r="G22" s="52">
        <f t="shared" si="1"/>
        <v>2.6422764227642278E-2</v>
      </c>
      <c r="H22" s="164">
        <v>883</v>
      </c>
      <c r="I22" s="52">
        <f t="shared" si="2"/>
        <v>0.14382785956964891</v>
      </c>
      <c r="J22" s="151">
        <v>7705</v>
      </c>
      <c r="K22" s="88">
        <v>7700</v>
      </c>
      <c r="L22" s="54">
        <f t="shared" si="3"/>
        <v>6.4935064935064935E-4</v>
      </c>
      <c r="M22" s="169">
        <v>7417</v>
      </c>
      <c r="N22" s="54">
        <f t="shared" si="4"/>
        <v>3.8829715518403668E-2</v>
      </c>
      <c r="O22" s="174">
        <v>7128</v>
      </c>
      <c r="P22" s="52">
        <f t="shared" si="5"/>
        <v>8.0948372615039288E-2</v>
      </c>
      <c r="Q22" s="52">
        <f t="shared" si="6"/>
        <v>0.13108371187540557</v>
      </c>
      <c r="R22" s="52">
        <f t="shared" si="7"/>
        <v>0.1312987012987013</v>
      </c>
      <c r="S22" s="52">
        <f t="shared" si="8"/>
        <v>-2.1498942329573056E-4</v>
      </c>
      <c r="T22" s="52">
        <f t="shared" si="9"/>
        <v>0.13266819468787919</v>
      </c>
      <c r="U22" s="52">
        <f t="shared" si="10"/>
        <v>-1.5844828124736143E-3</v>
      </c>
      <c r="V22" s="52">
        <f t="shared" si="11"/>
        <v>0.12387766554433222</v>
      </c>
      <c r="W22" s="52">
        <f t="shared" si="12"/>
        <v>7.2060463310733569E-3</v>
      </c>
      <c r="X22" s="84">
        <v>0.18920000000000001</v>
      </c>
      <c r="Y22" s="84">
        <v>0.2266</v>
      </c>
      <c r="Z22" s="80">
        <v>0.30480000000000002</v>
      </c>
      <c r="AA22" s="140">
        <v>0.38059999999999999</v>
      </c>
    </row>
    <row r="23" spans="1:27" ht="16" x14ac:dyDescent="0.2">
      <c r="A23" s="73">
        <v>41</v>
      </c>
      <c r="B23" s="45" t="s">
        <v>49</v>
      </c>
      <c r="C23" s="53">
        <v>2223</v>
      </c>
      <c r="D23" s="151">
        <v>2202</v>
      </c>
      <c r="E23" s="52">
        <f t="shared" si="0"/>
        <v>-9.4466936572199737E-3</v>
      </c>
      <c r="F23" s="160">
        <v>2224</v>
      </c>
      <c r="G23" s="52">
        <f t="shared" si="1"/>
        <v>-9.892086330935251E-3</v>
      </c>
      <c r="H23" s="164">
        <v>1877</v>
      </c>
      <c r="I23" s="52">
        <f t="shared" si="2"/>
        <v>0.17314864144912093</v>
      </c>
      <c r="J23" s="151">
        <v>26040</v>
      </c>
      <c r="K23" s="90">
        <v>25401</v>
      </c>
      <c r="L23" s="54">
        <f t="shared" si="3"/>
        <v>2.5156489901972362E-2</v>
      </c>
      <c r="M23" s="169">
        <v>24753</v>
      </c>
      <c r="N23" s="54">
        <f t="shared" si="4"/>
        <v>5.1993697733608048E-2</v>
      </c>
      <c r="O23" s="174">
        <v>25764</v>
      </c>
      <c r="P23" s="52">
        <f t="shared" si="5"/>
        <v>1.0712622263623661E-2</v>
      </c>
      <c r="Q23" s="52">
        <f t="shared" si="6"/>
        <v>8.4562211981566826E-2</v>
      </c>
      <c r="R23" s="52">
        <f t="shared" si="7"/>
        <v>8.7516239518129202E-2</v>
      </c>
      <c r="S23" s="52">
        <f t="shared" si="8"/>
        <v>-2.9540275365623758E-3</v>
      </c>
      <c r="T23" s="52">
        <f t="shared" si="9"/>
        <v>8.9847695228861144E-2</v>
      </c>
      <c r="U23" s="52">
        <f t="shared" si="10"/>
        <v>-5.2854832472943175E-3</v>
      </c>
      <c r="V23" s="52">
        <f t="shared" si="11"/>
        <v>7.2853594162397145E-2</v>
      </c>
      <c r="W23" s="52">
        <f t="shared" si="12"/>
        <v>1.1708617819169681E-2</v>
      </c>
      <c r="X23" s="84">
        <v>0.22220000000000001</v>
      </c>
      <c r="Y23" s="84">
        <v>0.22770000000000001</v>
      </c>
      <c r="Z23" s="80">
        <v>0.46329999999999999</v>
      </c>
      <c r="AA23" s="140">
        <v>0.47420000000000001</v>
      </c>
    </row>
    <row r="24" spans="1:27" ht="16" x14ac:dyDescent="0.2">
      <c r="A24" s="73">
        <v>42</v>
      </c>
      <c r="B24" s="45" t="s">
        <v>50</v>
      </c>
      <c r="C24" s="83">
        <v>1628</v>
      </c>
      <c r="D24" s="151">
        <v>1656</v>
      </c>
      <c r="E24" s="52">
        <f t="shared" si="0"/>
        <v>1.7199017199017199E-2</v>
      </c>
      <c r="F24" s="160">
        <v>1458</v>
      </c>
      <c r="G24" s="52">
        <f t="shared" si="1"/>
        <v>0.13580246913580246</v>
      </c>
      <c r="H24" s="164">
        <v>1467</v>
      </c>
      <c r="I24" s="52">
        <f t="shared" si="2"/>
        <v>0.12883435582822086</v>
      </c>
      <c r="J24" s="151">
        <v>15494</v>
      </c>
      <c r="K24" s="88">
        <v>15294</v>
      </c>
      <c r="L24" s="54">
        <f t="shared" si="3"/>
        <v>1.3077023669412841E-2</v>
      </c>
      <c r="M24" s="169">
        <v>14488</v>
      </c>
      <c r="N24" s="54">
        <f t="shared" si="4"/>
        <v>6.9436775262286032E-2</v>
      </c>
      <c r="O24" s="174">
        <v>15509</v>
      </c>
      <c r="P24" s="52">
        <f t="shared" si="5"/>
        <v>-9.6718034689535109E-4</v>
      </c>
      <c r="Q24" s="52">
        <f t="shared" si="6"/>
        <v>0.10688008261262424</v>
      </c>
      <c r="R24" s="52">
        <f t="shared" si="7"/>
        <v>0.10644697266902053</v>
      </c>
      <c r="S24" s="52">
        <f t="shared" si="8"/>
        <v>4.3310994360371002E-4</v>
      </c>
      <c r="T24" s="52">
        <f t="shared" si="9"/>
        <v>0.10063500828271674</v>
      </c>
      <c r="U24" s="52">
        <f t="shared" si="10"/>
        <v>6.2450743299075073E-3</v>
      </c>
      <c r="V24" s="52">
        <f t="shared" si="11"/>
        <v>9.4590237926365339E-2</v>
      </c>
      <c r="W24" s="52">
        <f t="shared" si="12"/>
        <v>1.2289844686258905E-2</v>
      </c>
      <c r="X24" s="95">
        <v>0.1389</v>
      </c>
      <c r="Y24" s="95">
        <v>0.15429999999999999</v>
      </c>
      <c r="Z24" s="96">
        <v>0.5504</v>
      </c>
      <c r="AA24" s="147">
        <v>0.52869999999999995</v>
      </c>
    </row>
    <row r="25" spans="1:27" ht="16" x14ac:dyDescent="0.2">
      <c r="A25" s="73">
        <v>43</v>
      </c>
      <c r="B25" s="45" t="s">
        <v>51</v>
      </c>
      <c r="C25" s="97">
        <v>3876</v>
      </c>
      <c r="D25" s="151">
        <v>3876</v>
      </c>
      <c r="E25" s="52">
        <f t="shared" si="0"/>
        <v>0</v>
      </c>
      <c r="F25" s="160">
        <v>3662</v>
      </c>
      <c r="G25" s="52">
        <f t="shared" si="1"/>
        <v>5.8438012015292189E-2</v>
      </c>
      <c r="H25" s="164">
        <v>2628</v>
      </c>
      <c r="I25" s="52">
        <f t="shared" si="2"/>
        <v>0.47488584474885842</v>
      </c>
      <c r="J25" s="151">
        <v>33410</v>
      </c>
      <c r="K25" s="98">
        <v>33290</v>
      </c>
      <c r="L25" s="54">
        <f t="shared" si="3"/>
        <v>3.6046860919194952E-3</v>
      </c>
      <c r="M25" s="169">
        <v>33144</v>
      </c>
      <c r="N25" s="54">
        <f t="shared" si="4"/>
        <v>8.0255853246439784E-3</v>
      </c>
      <c r="O25" s="174">
        <v>32588</v>
      </c>
      <c r="P25" s="52">
        <f t="shared" si="5"/>
        <v>2.5224008837608936E-2</v>
      </c>
      <c r="Q25" s="52">
        <f t="shared" si="6"/>
        <v>0.11601316970966777</v>
      </c>
      <c r="R25" s="52">
        <f t="shared" si="7"/>
        <v>0.11643136076899969</v>
      </c>
      <c r="S25" s="52">
        <f t="shared" si="8"/>
        <v>-4.1819105933192657E-4</v>
      </c>
      <c r="T25" s="52">
        <f t="shared" si="9"/>
        <v>0.11048756939415882</v>
      </c>
      <c r="U25" s="52">
        <f t="shared" si="10"/>
        <v>5.5256003155089439E-3</v>
      </c>
      <c r="V25" s="52">
        <f t="shared" si="11"/>
        <v>8.0643181539216888E-2</v>
      </c>
      <c r="W25" s="52">
        <f t="shared" si="12"/>
        <v>3.5369988170450881E-2</v>
      </c>
      <c r="X25" s="84">
        <v>0.21990000000000001</v>
      </c>
      <c r="Y25" s="84">
        <v>0.22559999999999999</v>
      </c>
      <c r="Z25" s="80">
        <v>0.27460000000000001</v>
      </c>
      <c r="AA25" s="140">
        <v>0.29370000000000002</v>
      </c>
    </row>
    <row r="26" spans="1:27" ht="16" x14ac:dyDescent="0.2">
      <c r="A26" s="73">
        <v>44</v>
      </c>
      <c r="B26" s="45" t="s">
        <v>52</v>
      </c>
      <c r="C26" s="83">
        <v>2545</v>
      </c>
      <c r="D26" s="151">
        <v>2613</v>
      </c>
      <c r="E26" s="52">
        <f t="shared" si="0"/>
        <v>2.6719056974459726E-2</v>
      </c>
      <c r="F26" s="160">
        <v>2523</v>
      </c>
      <c r="G26" s="52">
        <f t="shared" si="1"/>
        <v>3.56718192627824E-2</v>
      </c>
      <c r="H26" s="164">
        <v>2212</v>
      </c>
      <c r="I26" s="52">
        <f t="shared" si="2"/>
        <v>0.18128390596745028</v>
      </c>
      <c r="J26" s="151">
        <v>16256</v>
      </c>
      <c r="K26" s="88">
        <v>15954</v>
      </c>
      <c r="L26" s="54">
        <f t="shared" si="3"/>
        <v>1.8929422088504452E-2</v>
      </c>
      <c r="M26" s="169">
        <v>15876</v>
      </c>
      <c r="N26" s="54">
        <f t="shared" si="4"/>
        <v>2.3935500125976318E-2</v>
      </c>
      <c r="O26" s="174">
        <v>16705</v>
      </c>
      <c r="P26" s="52">
        <f t="shared" si="5"/>
        <v>-2.6878180185573183E-2</v>
      </c>
      <c r="Q26" s="52">
        <f t="shared" si="6"/>
        <v>0.16074064960629922</v>
      </c>
      <c r="R26" s="52">
        <f t="shared" si="7"/>
        <v>0.15952112322928419</v>
      </c>
      <c r="S26" s="52">
        <f t="shared" si="8"/>
        <v>1.2195263770150289E-3</v>
      </c>
      <c r="T26" s="52">
        <f t="shared" si="9"/>
        <v>0.1589191232048375</v>
      </c>
      <c r="U26" s="52">
        <f t="shared" si="10"/>
        <v>1.821526401461715E-3</v>
      </c>
      <c r="V26" s="52">
        <f t="shared" si="11"/>
        <v>0.13241544447770129</v>
      </c>
      <c r="W26" s="52">
        <f t="shared" si="12"/>
        <v>2.832520512859793E-2</v>
      </c>
      <c r="X26" s="95">
        <v>0.1368</v>
      </c>
      <c r="Y26" s="95">
        <v>0.16189999999999999</v>
      </c>
      <c r="Z26" s="80">
        <v>0.38429999999999997</v>
      </c>
      <c r="AA26" s="140">
        <v>0.34210000000000002</v>
      </c>
    </row>
    <row r="27" spans="1:27" ht="16" x14ac:dyDescent="0.2">
      <c r="A27" s="73">
        <v>45</v>
      </c>
      <c r="B27" s="45" t="s">
        <v>53</v>
      </c>
      <c r="C27" s="83">
        <v>1027</v>
      </c>
      <c r="D27" s="151">
        <v>1044</v>
      </c>
      <c r="E27" s="52">
        <f t="shared" si="0"/>
        <v>1.6553067185978577E-2</v>
      </c>
      <c r="F27" s="160">
        <v>980</v>
      </c>
      <c r="G27" s="52">
        <f t="shared" si="1"/>
        <v>6.5306122448979598E-2</v>
      </c>
      <c r="H27" s="164">
        <v>884</v>
      </c>
      <c r="I27" s="52">
        <f t="shared" si="2"/>
        <v>0.18099547511312217</v>
      </c>
      <c r="J27" s="151">
        <v>7391</v>
      </c>
      <c r="K27" s="88">
        <v>7332</v>
      </c>
      <c r="L27" s="54">
        <f t="shared" si="3"/>
        <v>8.0469176213857057E-3</v>
      </c>
      <c r="M27" s="169">
        <v>7268</v>
      </c>
      <c r="N27" s="54">
        <f t="shared" si="4"/>
        <v>1.6923500275178867E-2</v>
      </c>
      <c r="O27" s="174">
        <v>6920</v>
      </c>
      <c r="P27" s="52">
        <f t="shared" si="5"/>
        <v>6.8063583815028902E-2</v>
      </c>
      <c r="Q27" s="52">
        <f t="shared" si="6"/>
        <v>0.14125287511838722</v>
      </c>
      <c r="R27" s="52">
        <f t="shared" si="7"/>
        <v>0.14007092198581561</v>
      </c>
      <c r="S27" s="52">
        <f t="shared" si="8"/>
        <v>1.1819531325716059E-3</v>
      </c>
      <c r="T27" s="52">
        <f t="shared" si="9"/>
        <v>0.13483764446890478</v>
      </c>
      <c r="U27" s="52">
        <f t="shared" si="10"/>
        <v>6.415230649482434E-3</v>
      </c>
      <c r="V27" s="52">
        <f t="shared" si="11"/>
        <v>0.12774566473988438</v>
      </c>
      <c r="W27" s="52">
        <f t="shared" si="12"/>
        <v>1.3507210378502832E-2</v>
      </c>
      <c r="X27" s="84">
        <v>8.8599999999999998E-2</v>
      </c>
      <c r="Y27" s="84">
        <v>6.13E-2</v>
      </c>
      <c r="Z27" s="80">
        <v>0.29249999999999998</v>
      </c>
      <c r="AA27" s="140">
        <v>0.38479999999999998</v>
      </c>
    </row>
    <row r="28" spans="1:27" ht="16" x14ac:dyDescent="0.2">
      <c r="A28" s="73">
        <v>46</v>
      </c>
      <c r="B28" s="45" t="s">
        <v>10</v>
      </c>
      <c r="C28" s="99"/>
      <c r="D28" s="155"/>
      <c r="E28" s="52"/>
      <c r="F28" s="154"/>
      <c r="G28" s="52"/>
      <c r="H28" s="154"/>
      <c r="I28" s="52"/>
      <c r="J28" s="154"/>
      <c r="K28" s="55"/>
      <c r="L28" s="54"/>
      <c r="M28" s="154"/>
      <c r="N28" s="54"/>
      <c r="O28" s="154"/>
      <c r="P28" s="52"/>
      <c r="Q28" s="52"/>
      <c r="R28" s="52"/>
      <c r="S28" s="52"/>
      <c r="T28" s="52"/>
      <c r="U28" s="52"/>
      <c r="V28" s="52"/>
      <c r="W28" s="52"/>
      <c r="X28" s="84"/>
      <c r="Y28" s="84"/>
      <c r="Z28" s="80"/>
      <c r="AA28" s="141"/>
    </row>
    <row r="29" spans="1:27" ht="17" x14ac:dyDescent="0.2">
      <c r="A29" s="73">
        <v>47</v>
      </c>
      <c r="B29" s="45" t="s">
        <v>54</v>
      </c>
      <c r="C29" s="83">
        <v>164</v>
      </c>
      <c r="D29" s="151">
        <v>196</v>
      </c>
      <c r="E29" s="52">
        <f t="shared" si="0"/>
        <v>0.1951219512195122</v>
      </c>
      <c r="F29" s="160">
        <v>98</v>
      </c>
      <c r="G29" s="52">
        <f t="shared" si="1"/>
        <v>1</v>
      </c>
      <c r="H29" s="160"/>
      <c r="I29" s="54" t="s">
        <v>85</v>
      </c>
      <c r="J29" s="151">
        <v>2798</v>
      </c>
      <c r="K29" s="88">
        <v>2290</v>
      </c>
      <c r="L29" s="54">
        <f t="shared" si="3"/>
        <v>0.22183406113537119</v>
      </c>
      <c r="M29" s="169">
        <v>2114</v>
      </c>
      <c r="N29" s="54">
        <f t="shared" si="4"/>
        <v>0.32355723746452225</v>
      </c>
      <c r="O29" s="169">
        <v>2354</v>
      </c>
      <c r="P29" s="52">
        <f t="shared" si="5"/>
        <v>0.18861512319456245</v>
      </c>
      <c r="Q29" s="52">
        <f t="shared" si="6"/>
        <v>7.0050035739814151E-2</v>
      </c>
      <c r="R29" s="52">
        <f t="shared" si="7"/>
        <v>7.1615720524017462E-2</v>
      </c>
      <c r="S29" s="52">
        <f t="shared" si="8"/>
        <v>-1.5656847842033111E-3</v>
      </c>
      <c r="T29" s="52">
        <f t="shared" si="9"/>
        <v>4.6357615894039736E-2</v>
      </c>
      <c r="U29" s="52">
        <f t="shared" si="10"/>
        <v>2.3692419845774415E-2</v>
      </c>
      <c r="V29" s="52"/>
      <c r="W29" s="52"/>
      <c r="X29" s="100"/>
      <c r="Y29" s="100"/>
      <c r="Z29" s="92"/>
      <c r="AA29" s="142"/>
    </row>
    <row r="30" spans="1:27" ht="16" x14ac:dyDescent="0.2">
      <c r="A30" s="81">
        <v>48</v>
      </c>
      <c r="B30" s="59" t="s">
        <v>55</v>
      </c>
      <c r="C30" s="101">
        <v>1087</v>
      </c>
      <c r="D30" s="152">
        <v>1088</v>
      </c>
      <c r="E30" s="56">
        <f t="shared" si="0"/>
        <v>9.1996320147194111E-4</v>
      </c>
      <c r="F30" s="161">
        <v>660</v>
      </c>
      <c r="G30" s="56">
        <f t="shared" si="1"/>
        <v>0.64848484848484844</v>
      </c>
      <c r="H30" s="165">
        <v>320</v>
      </c>
      <c r="I30" s="56">
        <f t="shared" si="2"/>
        <v>2.4</v>
      </c>
      <c r="J30" s="152">
        <v>5209</v>
      </c>
      <c r="K30" s="68">
        <v>5131</v>
      </c>
      <c r="L30" s="57">
        <f t="shared" si="3"/>
        <v>1.5201715065289417E-2</v>
      </c>
      <c r="M30" s="168">
        <v>4596</v>
      </c>
      <c r="N30" s="57">
        <f t="shared" si="4"/>
        <v>0.13337684943429068</v>
      </c>
      <c r="O30" s="173">
        <v>4210</v>
      </c>
      <c r="P30" s="56">
        <f t="shared" si="5"/>
        <v>0.23729216152019003</v>
      </c>
      <c r="Q30" s="56">
        <f t="shared" si="6"/>
        <v>0.20886926473411405</v>
      </c>
      <c r="R30" s="56">
        <f t="shared" si="7"/>
        <v>0.2118495419996102</v>
      </c>
      <c r="S30" s="56">
        <f t="shared" si="8"/>
        <v>-2.9802772654961562E-3</v>
      </c>
      <c r="T30" s="56">
        <f t="shared" si="9"/>
        <v>0.14360313315926893</v>
      </c>
      <c r="U30" s="56">
        <f t="shared" si="10"/>
        <v>6.5266131574845121E-2</v>
      </c>
      <c r="V30" s="56">
        <f t="shared" si="11"/>
        <v>7.6009501187648459E-2</v>
      </c>
      <c r="W30" s="56">
        <f t="shared" si="12"/>
        <v>0.13285976354646559</v>
      </c>
      <c r="X30" s="102"/>
      <c r="Y30" s="102"/>
      <c r="Z30" s="65">
        <v>0.47870000000000001</v>
      </c>
      <c r="AA30" s="143">
        <v>0.57999999999999996</v>
      </c>
    </row>
    <row r="31" spans="1:27" ht="16" x14ac:dyDescent="0.2">
      <c r="A31" s="73">
        <v>49</v>
      </c>
      <c r="B31" s="45" t="s">
        <v>13</v>
      </c>
      <c r="C31" s="103"/>
      <c r="D31" s="156"/>
      <c r="E31" s="52"/>
      <c r="F31" s="154"/>
      <c r="G31" s="56"/>
      <c r="H31" s="154"/>
      <c r="I31" s="52"/>
      <c r="J31" s="154"/>
      <c r="K31" s="55"/>
      <c r="L31" s="54"/>
      <c r="M31" s="154"/>
      <c r="N31" s="54"/>
      <c r="O31" s="154"/>
      <c r="P31" s="52"/>
      <c r="Q31" s="52"/>
      <c r="R31" s="52"/>
      <c r="S31" s="52"/>
      <c r="T31" s="52"/>
      <c r="U31" s="52"/>
      <c r="V31" s="52"/>
      <c r="W31" s="52"/>
      <c r="X31" s="84"/>
      <c r="Y31" s="84"/>
      <c r="Z31" s="80"/>
      <c r="AA31" s="141"/>
    </row>
    <row r="32" spans="1:27" ht="16" x14ac:dyDescent="0.2">
      <c r="A32" s="73">
        <v>50</v>
      </c>
      <c r="B32" s="45" t="s">
        <v>56</v>
      </c>
      <c r="C32" s="83">
        <v>5</v>
      </c>
      <c r="D32" s="151">
        <v>0</v>
      </c>
      <c r="E32" s="52">
        <f t="shared" si="0"/>
        <v>-1</v>
      </c>
      <c r="F32" s="160">
        <v>33</v>
      </c>
      <c r="G32" s="56">
        <f t="shared" si="1"/>
        <v>-1</v>
      </c>
      <c r="H32" s="164">
        <v>14</v>
      </c>
      <c r="I32" s="52">
        <f t="shared" si="2"/>
        <v>-1</v>
      </c>
      <c r="J32" s="151">
        <v>467</v>
      </c>
      <c r="K32" s="88">
        <v>476</v>
      </c>
      <c r="L32" s="54">
        <f t="shared" si="3"/>
        <v>-1.8907563025210083E-2</v>
      </c>
      <c r="M32" s="169">
        <v>564</v>
      </c>
      <c r="N32" s="54">
        <f t="shared" si="4"/>
        <v>-0.17198581560283688</v>
      </c>
      <c r="O32" s="174">
        <v>716</v>
      </c>
      <c r="P32" s="52">
        <f t="shared" si="5"/>
        <v>-0.3477653631284916</v>
      </c>
      <c r="Q32" s="52">
        <f t="shared" si="6"/>
        <v>0</v>
      </c>
      <c r="R32" s="52">
        <f t="shared" si="7"/>
        <v>1.050420168067227E-2</v>
      </c>
      <c r="S32" s="52">
        <f t="shared" si="8"/>
        <v>-1.050420168067227E-2</v>
      </c>
      <c r="T32" s="52">
        <f t="shared" si="9"/>
        <v>5.8510638297872342E-2</v>
      </c>
      <c r="U32" s="52">
        <f t="shared" si="10"/>
        <v>-5.8510638297872342E-2</v>
      </c>
      <c r="V32" s="52">
        <f t="shared" si="11"/>
        <v>1.9553072625698324E-2</v>
      </c>
      <c r="W32" s="52">
        <f t="shared" si="12"/>
        <v>-1.9553072625698324E-2</v>
      </c>
      <c r="X32" s="100"/>
      <c r="Y32" s="54"/>
      <c r="Z32" s="92"/>
      <c r="AA32" s="142"/>
    </row>
    <row r="33" spans="1:27" ht="16" x14ac:dyDescent="0.2">
      <c r="A33" s="73">
        <v>51</v>
      </c>
      <c r="B33" s="45" t="s">
        <v>5</v>
      </c>
      <c r="C33" s="99"/>
      <c r="D33" s="155"/>
      <c r="E33" s="52"/>
      <c r="F33" s="154"/>
      <c r="G33" s="52"/>
      <c r="H33" s="154"/>
      <c r="I33" s="52"/>
      <c r="J33" s="154"/>
      <c r="K33" s="55"/>
      <c r="L33" s="54"/>
      <c r="M33" s="154"/>
      <c r="N33" s="54"/>
      <c r="O33" s="154"/>
      <c r="P33" s="52"/>
      <c r="Q33" s="52"/>
      <c r="R33" s="52"/>
      <c r="S33" s="52"/>
      <c r="T33" s="52"/>
      <c r="U33" s="52"/>
      <c r="V33" s="52"/>
      <c r="W33" s="52"/>
      <c r="X33" s="84"/>
      <c r="Y33" s="84"/>
      <c r="Z33" s="80"/>
      <c r="AA33" s="141"/>
    </row>
    <row r="34" spans="1:27" ht="16" x14ac:dyDescent="0.2">
      <c r="A34" s="73">
        <v>52</v>
      </c>
      <c r="B34" s="45" t="s">
        <v>57</v>
      </c>
      <c r="C34" s="83">
        <v>230</v>
      </c>
      <c r="D34" s="151">
        <v>224</v>
      </c>
      <c r="E34" s="52">
        <f t="shared" si="0"/>
        <v>-2.6086956521739129E-2</v>
      </c>
      <c r="F34" s="160">
        <v>165</v>
      </c>
      <c r="G34" s="52">
        <f t="shared" si="1"/>
        <v>0.3575757575757576</v>
      </c>
      <c r="H34" s="164">
        <v>174</v>
      </c>
      <c r="I34" s="52">
        <f t="shared" si="2"/>
        <v>0.28735632183908044</v>
      </c>
      <c r="J34" s="151">
        <v>1941</v>
      </c>
      <c r="K34" s="88">
        <v>1963</v>
      </c>
      <c r="L34" s="54">
        <f t="shared" si="3"/>
        <v>-1.1207335710646969E-2</v>
      </c>
      <c r="M34" s="169">
        <v>2066</v>
      </c>
      <c r="N34" s="54">
        <f t="shared" si="4"/>
        <v>-6.0503388189738626E-2</v>
      </c>
      <c r="O34" s="174">
        <v>2400</v>
      </c>
      <c r="P34" s="52">
        <f t="shared" si="5"/>
        <v>-0.19125</v>
      </c>
      <c r="Q34" s="52">
        <f t="shared" si="6"/>
        <v>0.11540443070582174</v>
      </c>
      <c r="R34" s="52">
        <f t="shared" si="7"/>
        <v>0.11716760061130922</v>
      </c>
      <c r="S34" s="52">
        <f t="shared" si="8"/>
        <v>-1.7631699054874855E-3</v>
      </c>
      <c r="T34" s="52">
        <f t="shared" si="9"/>
        <v>7.9864472410454981E-2</v>
      </c>
      <c r="U34" s="52">
        <f t="shared" si="10"/>
        <v>3.5539958295366755E-2</v>
      </c>
      <c r="V34" s="52">
        <f t="shared" si="11"/>
        <v>7.2499999999999995E-2</v>
      </c>
      <c r="W34" s="52">
        <f t="shared" si="12"/>
        <v>4.2904430705821742E-2</v>
      </c>
      <c r="X34" s="84">
        <v>0.375</v>
      </c>
      <c r="Y34" s="84">
        <v>0.23619999999999999</v>
      </c>
      <c r="Z34" s="79">
        <v>0.23080000000000001</v>
      </c>
      <c r="AA34" s="142" t="s">
        <v>85</v>
      </c>
    </row>
    <row r="35" spans="1:27" ht="17" x14ac:dyDescent="0.2">
      <c r="A35" s="73">
        <v>53</v>
      </c>
      <c r="B35" s="45" t="s">
        <v>6</v>
      </c>
      <c r="C35" s="83">
        <v>18</v>
      </c>
      <c r="D35" s="151">
        <v>18</v>
      </c>
      <c r="E35" s="52">
        <f t="shared" si="0"/>
        <v>0</v>
      </c>
      <c r="F35" s="162" t="s">
        <v>110</v>
      </c>
      <c r="G35" s="52"/>
      <c r="H35" s="162" t="s">
        <v>110</v>
      </c>
      <c r="I35" s="52"/>
      <c r="J35" s="151">
        <v>2417</v>
      </c>
      <c r="K35" s="88">
        <v>2417</v>
      </c>
      <c r="L35" s="54">
        <f t="shared" si="3"/>
        <v>0</v>
      </c>
      <c r="M35" s="170">
        <v>2443</v>
      </c>
      <c r="N35" s="54">
        <f t="shared" si="4"/>
        <v>-1.0642652476463364E-2</v>
      </c>
      <c r="O35" s="170">
        <v>2883</v>
      </c>
      <c r="P35" s="52">
        <f t="shared" si="5"/>
        <v>-0.16163718348942074</v>
      </c>
      <c r="Q35" s="52">
        <f t="shared" si="6"/>
        <v>7.4472486553578817E-3</v>
      </c>
      <c r="R35" s="52">
        <f t="shared" si="7"/>
        <v>7.4472486553578817E-3</v>
      </c>
      <c r="S35" s="52">
        <f t="shared" si="8"/>
        <v>0</v>
      </c>
      <c r="T35" s="52"/>
      <c r="U35" s="52"/>
      <c r="V35" s="52"/>
      <c r="W35" s="52"/>
      <c r="X35" s="84"/>
      <c r="Y35" s="84"/>
      <c r="Z35" s="80"/>
      <c r="AA35" s="141"/>
    </row>
    <row r="36" spans="1:27" ht="16" x14ac:dyDescent="0.2">
      <c r="A36" s="73">
        <v>54</v>
      </c>
      <c r="B36" s="45" t="s">
        <v>58</v>
      </c>
      <c r="C36" s="83">
        <v>185</v>
      </c>
      <c r="D36" s="151">
        <v>174</v>
      </c>
      <c r="E36" s="52">
        <f t="shared" si="0"/>
        <v>-5.9459459459459463E-2</v>
      </c>
      <c r="F36" s="160">
        <v>194</v>
      </c>
      <c r="G36" s="52">
        <f t="shared" si="1"/>
        <v>-0.10309278350515463</v>
      </c>
      <c r="H36" s="164">
        <v>161</v>
      </c>
      <c r="I36" s="52">
        <f t="shared" si="2"/>
        <v>8.0745341614906832E-2</v>
      </c>
      <c r="J36" s="151">
        <v>1950</v>
      </c>
      <c r="K36" s="88">
        <v>1966</v>
      </c>
      <c r="L36" s="54">
        <f t="shared" si="3"/>
        <v>-8.1383519837232958E-3</v>
      </c>
      <c r="M36" s="169">
        <v>2072</v>
      </c>
      <c r="N36" s="54">
        <f t="shared" si="4"/>
        <v>-5.8880308880308881E-2</v>
      </c>
      <c r="O36" s="174">
        <v>2438</v>
      </c>
      <c r="P36" s="52">
        <f t="shared" si="5"/>
        <v>-0.20016406890894176</v>
      </c>
      <c r="Q36" s="52">
        <f t="shared" si="6"/>
        <v>8.9230769230769225E-2</v>
      </c>
      <c r="R36" s="52">
        <f t="shared" si="7"/>
        <v>9.409969481180061E-2</v>
      </c>
      <c r="S36" s="52">
        <f t="shared" si="8"/>
        <v>-4.8689255810313858E-3</v>
      </c>
      <c r="T36" s="52">
        <f t="shared" si="9"/>
        <v>9.3629343629343623E-2</v>
      </c>
      <c r="U36" s="52">
        <f t="shared" si="10"/>
        <v>-4.398574398574398E-3</v>
      </c>
      <c r="V36" s="52">
        <f t="shared" si="11"/>
        <v>6.6037735849056603E-2</v>
      </c>
      <c r="W36" s="52">
        <f t="shared" si="12"/>
        <v>2.3193033381712622E-2</v>
      </c>
      <c r="X36" s="84">
        <v>0.21879999999999999</v>
      </c>
      <c r="Y36" s="84">
        <v>0.15290000000000001</v>
      </c>
      <c r="Z36" s="92"/>
      <c r="AA36" s="142"/>
    </row>
    <row r="37" spans="1:27" ht="16" x14ac:dyDescent="0.2">
      <c r="A37" s="73">
        <v>57</v>
      </c>
      <c r="B37" s="45" t="s">
        <v>59</v>
      </c>
      <c r="C37" s="83">
        <v>1155</v>
      </c>
      <c r="D37" s="151">
        <v>1180</v>
      </c>
      <c r="E37" s="52">
        <f t="shared" si="0"/>
        <v>2.1645021645021644E-2</v>
      </c>
      <c r="F37" s="160">
        <v>1001</v>
      </c>
      <c r="G37" s="52">
        <f t="shared" si="1"/>
        <v>0.17882117882117882</v>
      </c>
      <c r="H37" s="164">
        <v>751</v>
      </c>
      <c r="I37" s="52">
        <f t="shared" si="2"/>
        <v>0.57123834886817582</v>
      </c>
      <c r="J37" s="151">
        <v>13300</v>
      </c>
      <c r="K37" s="88">
        <v>13291</v>
      </c>
      <c r="L37" s="54">
        <f t="shared" si="3"/>
        <v>6.7714995109472581E-4</v>
      </c>
      <c r="M37" s="169">
        <v>12915</v>
      </c>
      <c r="N37" s="54">
        <f t="shared" si="4"/>
        <v>2.9810298102981029E-2</v>
      </c>
      <c r="O37" s="174">
        <v>14428</v>
      </c>
      <c r="P37" s="52">
        <f t="shared" si="5"/>
        <v>-7.8181314111449962E-2</v>
      </c>
      <c r="Q37" s="52">
        <f t="shared" si="6"/>
        <v>8.8721804511278202E-2</v>
      </c>
      <c r="R37" s="52">
        <f t="shared" si="7"/>
        <v>8.6900910390489805E-2</v>
      </c>
      <c r="S37" s="52">
        <f t="shared" si="8"/>
        <v>1.8208941207883966E-3</v>
      </c>
      <c r="T37" s="52">
        <f t="shared" si="9"/>
        <v>7.750677506775068E-2</v>
      </c>
      <c r="U37" s="52">
        <f t="shared" si="10"/>
        <v>1.1215029443527522E-2</v>
      </c>
      <c r="V37" s="52">
        <f t="shared" si="11"/>
        <v>5.2051566398669251E-2</v>
      </c>
      <c r="W37" s="52">
        <f t="shared" si="12"/>
        <v>3.6670238112608951E-2</v>
      </c>
      <c r="X37" s="84">
        <v>0.2276</v>
      </c>
      <c r="Y37" s="84">
        <v>0.2135</v>
      </c>
      <c r="Z37" s="80">
        <v>0.2581</v>
      </c>
      <c r="AA37" s="140">
        <v>0.20730000000000001</v>
      </c>
    </row>
    <row r="38" spans="1:27" ht="16" x14ac:dyDescent="0.2">
      <c r="A38" s="73">
        <v>58</v>
      </c>
      <c r="B38" s="45" t="s">
        <v>60</v>
      </c>
      <c r="C38" s="83">
        <v>210</v>
      </c>
      <c r="D38" s="151">
        <v>193</v>
      </c>
      <c r="E38" s="52">
        <f t="shared" si="0"/>
        <v>-8.0952380952380956E-2</v>
      </c>
      <c r="F38" s="160">
        <v>162</v>
      </c>
      <c r="G38" s="52">
        <f t="shared" si="1"/>
        <v>0.19135802469135801</v>
      </c>
      <c r="H38" s="164">
        <v>160</v>
      </c>
      <c r="I38" s="52">
        <f t="shared" si="2"/>
        <v>0.20624999999999999</v>
      </c>
      <c r="J38" s="151">
        <v>2285</v>
      </c>
      <c r="K38" s="88">
        <v>2350</v>
      </c>
      <c r="L38" s="54">
        <f t="shared" si="3"/>
        <v>-2.7659574468085105E-2</v>
      </c>
      <c r="M38" s="169">
        <v>2397</v>
      </c>
      <c r="N38" s="54">
        <f t="shared" si="4"/>
        <v>-4.6725073007926575E-2</v>
      </c>
      <c r="O38" s="174">
        <v>2713</v>
      </c>
      <c r="P38" s="52">
        <f t="shared" si="5"/>
        <v>-0.15775893844452635</v>
      </c>
      <c r="Q38" s="52">
        <f t="shared" si="6"/>
        <v>8.4463894967177239E-2</v>
      </c>
      <c r="R38" s="52">
        <f t="shared" si="7"/>
        <v>8.9361702127659579E-2</v>
      </c>
      <c r="S38" s="52">
        <f t="shared" si="8"/>
        <v>-4.8978071604823398E-3</v>
      </c>
      <c r="T38" s="52">
        <f t="shared" si="9"/>
        <v>6.7584480600750937E-2</v>
      </c>
      <c r="U38" s="52">
        <f t="shared" si="10"/>
        <v>1.6879414366426301E-2</v>
      </c>
      <c r="V38" s="52">
        <f t="shared" si="11"/>
        <v>5.8975304091411725E-2</v>
      </c>
      <c r="W38" s="52">
        <f t="shared" si="12"/>
        <v>2.5488590875765514E-2</v>
      </c>
      <c r="X38" s="84">
        <v>-0.1333</v>
      </c>
      <c r="Y38" s="84">
        <v>0.1608</v>
      </c>
      <c r="Z38" s="80"/>
      <c r="AA38" s="142"/>
    </row>
    <row r="39" spans="1:27" ht="16" x14ac:dyDescent="0.2">
      <c r="A39" s="73">
        <v>59</v>
      </c>
      <c r="B39" s="45" t="s">
        <v>61</v>
      </c>
      <c r="C39" s="83">
        <v>286</v>
      </c>
      <c r="D39" s="151">
        <v>292</v>
      </c>
      <c r="E39" s="52">
        <f t="shared" si="0"/>
        <v>2.097902097902098E-2</v>
      </c>
      <c r="F39" s="160">
        <v>381</v>
      </c>
      <c r="G39" s="52">
        <f t="shared" si="1"/>
        <v>-0.23359580052493439</v>
      </c>
      <c r="H39" s="164">
        <v>393</v>
      </c>
      <c r="I39" s="52">
        <f t="shared" si="2"/>
        <v>-0.25699745547073793</v>
      </c>
      <c r="J39" s="151">
        <v>3648</v>
      </c>
      <c r="K39" s="88">
        <v>3585</v>
      </c>
      <c r="L39" s="54">
        <f t="shared" si="3"/>
        <v>1.7573221757322177E-2</v>
      </c>
      <c r="M39" s="169">
        <v>3500</v>
      </c>
      <c r="N39" s="54">
        <f t="shared" si="4"/>
        <v>4.2285714285714288E-2</v>
      </c>
      <c r="O39" s="174">
        <v>4131</v>
      </c>
      <c r="P39" s="52">
        <f t="shared" si="5"/>
        <v>-0.11692084241103849</v>
      </c>
      <c r="Q39" s="52">
        <f t="shared" si="6"/>
        <v>8.0043859649122806E-2</v>
      </c>
      <c r="R39" s="52">
        <f t="shared" si="7"/>
        <v>7.9776847977684792E-2</v>
      </c>
      <c r="S39" s="52">
        <f t="shared" si="8"/>
        <v>2.6701167143801385E-4</v>
      </c>
      <c r="T39" s="52">
        <f t="shared" si="9"/>
        <v>0.10885714285714286</v>
      </c>
      <c r="U39" s="52">
        <f t="shared" si="10"/>
        <v>-2.8813283208020055E-2</v>
      </c>
      <c r="V39" s="52">
        <f t="shared" si="11"/>
        <v>9.5134350036310822E-2</v>
      </c>
      <c r="W39" s="52">
        <f t="shared" si="12"/>
        <v>-1.5090490387188016E-2</v>
      </c>
      <c r="X39" s="84">
        <v>0.54349999999999998</v>
      </c>
      <c r="Y39" s="84">
        <v>0.43030000000000002</v>
      </c>
      <c r="Z39" s="80">
        <v>0.37930000000000003</v>
      </c>
      <c r="AA39" s="140">
        <v>0.46239999999999998</v>
      </c>
    </row>
    <row r="40" spans="1:27" ht="16" x14ac:dyDescent="0.2">
      <c r="A40" s="73">
        <v>60</v>
      </c>
      <c r="B40" s="45" t="s">
        <v>62</v>
      </c>
      <c r="C40" s="83">
        <v>407</v>
      </c>
      <c r="D40" s="151">
        <v>405</v>
      </c>
      <c r="E40" s="52">
        <f t="shared" si="0"/>
        <v>-4.9140049140049139E-3</v>
      </c>
      <c r="F40" s="160">
        <v>343</v>
      </c>
      <c r="G40" s="52">
        <f t="shared" si="1"/>
        <v>0.18075801749271136</v>
      </c>
      <c r="H40" s="164">
        <v>387</v>
      </c>
      <c r="I40" s="52">
        <f t="shared" si="2"/>
        <v>4.6511627906976744E-2</v>
      </c>
      <c r="J40" s="151">
        <v>6483</v>
      </c>
      <c r="K40" s="88">
        <v>6399</v>
      </c>
      <c r="L40" s="54">
        <f t="shared" si="3"/>
        <v>1.3127051101734646E-2</v>
      </c>
      <c r="M40" s="169">
        <v>6060</v>
      </c>
      <c r="N40" s="54">
        <f t="shared" si="4"/>
        <v>6.9801980198019808E-2</v>
      </c>
      <c r="O40" s="174">
        <v>6052</v>
      </c>
      <c r="P40" s="52">
        <f t="shared" si="5"/>
        <v>7.1216126900198282E-2</v>
      </c>
      <c r="Q40" s="52">
        <f t="shared" si="6"/>
        <v>6.2471078204534937E-2</v>
      </c>
      <c r="R40" s="52">
        <f t="shared" si="7"/>
        <v>6.3603688076261919E-2</v>
      </c>
      <c r="S40" s="52">
        <f t="shared" si="8"/>
        <v>-1.132609871726982E-3</v>
      </c>
      <c r="T40" s="52">
        <f t="shared" si="9"/>
        <v>5.66006600660066E-2</v>
      </c>
      <c r="U40" s="52">
        <f t="shared" si="10"/>
        <v>5.8704181385283369E-3</v>
      </c>
      <c r="V40" s="52">
        <f t="shared" si="11"/>
        <v>6.3945803040317245E-2</v>
      </c>
      <c r="W40" s="52">
        <f t="shared" si="12"/>
        <v>-1.4747248357823081E-3</v>
      </c>
      <c r="X40" s="84">
        <v>0.2</v>
      </c>
      <c r="Y40" s="84">
        <v>0.22220000000000001</v>
      </c>
      <c r="Z40" s="80">
        <v>0.18179999999999999</v>
      </c>
      <c r="AA40" s="140">
        <v>0.47960000000000003</v>
      </c>
    </row>
    <row r="41" spans="1:27" ht="16" x14ac:dyDescent="0.2">
      <c r="A41" s="73">
        <v>61</v>
      </c>
      <c r="B41" s="45" t="s">
        <v>63</v>
      </c>
      <c r="C41" s="93">
        <v>3892</v>
      </c>
      <c r="D41" s="151">
        <v>3907</v>
      </c>
      <c r="E41" s="52">
        <f t="shared" si="0"/>
        <v>3.854059609455293E-3</v>
      </c>
      <c r="F41" s="160">
        <v>3679</v>
      </c>
      <c r="G41" s="52">
        <f t="shared" si="1"/>
        <v>6.1973362326719218E-2</v>
      </c>
      <c r="H41" s="164">
        <v>3017</v>
      </c>
      <c r="I41" s="52">
        <f t="shared" si="2"/>
        <v>0.29499502817368245</v>
      </c>
      <c r="J41" s="151">
        <v>20510</v>
      </c>
      <c r="K41" s="88">
        <v>20366</v>
      </c>
      <c r="L41" s="54">
        <f t="shared" si="3"/>
        <v>7.0706078758715502E-3</v>
      </c>
      <c r="M41" s="169">
        <v>19546</v>
      </c>
      <c r="N41" s="54">
        <f t="shared" si="4"/>
        <v>4.9319553872915173E-2</v>
      </c>
      <c r="O41" s="174">
        <v>20478</v>
      </c>
      <c r="P41" s="52">
        <f t="shared" si="5"/>
        <v>1.5626526027932416E-3</v>
      </c>
      <c r="Q41" s="52">
        <f t="shared" si="6"/>
        <v>0.19049244271087273</v>
      </c>
      <c r="R41" s="52">
        <f t="shared" si="7"/>
        <v>0.19110281842286164</v>
      </c>
      <c r="S41" s="52">
        <f t="shared" si="8"/>
        <v>-6.1037571198890861E-4</v>
      </c>
      <c r="T41" s="52">
        <f t="shared" si="9"/>
        <v>0.18822265425150925</v>
      </c>
      <c r="U41" s="52">
        <f t="shared" si="10"/>
        <v>2.2697884593634865E-3</v>
      </c>
      <c r="V41" s="52">
        <f t="shared" si="11"/>
        <v>0.14732884070710031</v>
      </c>
      <c r="W41" s="52">
        <f t="shared" si="12"/>
        <v>4.3163602003772422E-2</v>
      </c>
      <c r="X41" s="84">
        <v>0.1716</v>
      </c>
      <c r="Y41" s="54">
        <v>0.221</v>
      </c>
      <c r="Z41" s="80">
        <v>0.3639</v>
      </c>
      <c r="AA41" s="140">
        <v>0.3856</v>
      </c>
    </row>
    <row r="42" spans="1:27" ht="16" x14ac:dyDescent="0.2">
      <c r="A42" s="73">
        <v>62</v>
      </c>
      <c r="B42" s="45" t="s">
        <v>64</v>
      </c>
      <c r="C42" s="83">
        <v>1444</v>
      </c>
      <c r="D42" s="151">
        <v>1512</v>
      </c>
      <c r="E42" s="52">
        <f t="shared" si="0"/>
        <v>4.7091412742382273E-2</v>
      </c>
      <c r="F42" s="160">
        <v>1124</v>
      </c>
      <c r="G42" s="52">
        <f t="shared" si="1"/>
        <v>0.34519572953736655</v>
      </c>
      <c r="H42" s="164">
        <v>747</v>
      </c>
      <c r="I42" s="52">
        <f t="shared" si="2"/>
        <v>1.0240963855421688</v>
      </c>
      <c r="J42" s="151">
        <v>11696</v>
      </c>
      <c r="K42" s="88">
        <v>11468</v>
      </c>
      <c r="L42" s="54">
        <f t="shared" si="3"/>
        <v>1.9881409138472271E-2</v>
      </c>
      <c r="M42" s="169">
        <v>9825</v>
      </c>
      <c r="N42" s="54">
        <f t="shared" si="4"/>
        <v>0.19043256997455471</v>
      </c>
      <c r="O42" s="174">
        <v>9268</v>
      </c>
      <c r="P42" s="52">
        <f t="shared" si="5"/>
        <v>0.26197669400086321</v>
      </c>
      <c r="Q42" s="52">
        <f t="shared" si="6"/>
        <v>0.12927496580027359</v>
      </c>
      <c r="R42" s="52">
        <f t="shared" si="7"/>
        <v>0.12591559121032439</v>
      </c>
      <c r="S42" s="52">
        <f t="shared" si="8"/>
        <v>3.3593745899491989E-3</v>
      </c>
      <c r="T42" s="52">
        <f t="shared" si="9"/>
        <v>0.11440203562340967</v>
      </c>
      <c r="U42" s="52">
        <f t="shared" si="10"/>
        <v>1.4872930176863919E-2</v>
      </c>
      <c r="V42" s="52">
        <f t="shared" si="11"/>
        <v>8.0599913681484683E-2</v>
      </c>
      <c r="W42" s="52">
        <f t="shared" si="12"/>
        <v>4.8675052118788906E-2</v>
      </c>
      <c r="X42" s="84">
        <v>0.17019999999999999</v>
      </c>
      <c r="Y42" s="84">
        <v>0.19309999999999999</v>
      </c>
      <c r="Z42" s="80">
        <v>0.1585</v>
      </c>
      <c r="AA42" s="140">
        <v>0.24510000000000001</v>
      </c>
    </row>
    <row r="43" spans="1:27" ht="16" x14ac:dyDescent="0.2">
      <c r="A43" s="73">
        <v>63</v>
      </c>
      <c r="B43" s="45" t="s">
        <v>65</v>
      </c>
      <c r="C43" s="83">
        <v>916</v>
      </c>
      <c r="D43" s="151">
        <v>977</v>
      </c>
      <c r="E43" s="52">
        <f t="shared" si="0"/>
        <v>6.6593886462882099E-2</v>
      </c>
      <c r="F43" s="160">
        <v>903</v>
      </c>
      <c r="G43" s="52">
        <f t="shared" si="1"/>
        <v>8.1949058693244745E-2</v>
      </c>
      <c r="H43" s="164">
        <v>868</v>
      </c>
      <c r="I43" s="52">
        <f t="shared" si="2"/>
        <v>0.12557603686635946</v>
      </c>
      <c r="J43" s="151">
        <v>9007</v>
      </c>
      <c r="K43" s="88">
        <v>8624</v>
      </c>
      <c r="L43" s="54">
        <f t="shared" si="3"/>
        <v>4.4410946196660479E-2</v>
      </c>
      <c r="M43" s="169">
        <v>9185</v>
      </c>
      <c r="N43" s="54">
        <f t="shared" si="4"/>
        <v>-1.9379422972237343E-2</v>
      </c>
      <c r="O43" s="174">
        <v>9700</v>
      </c>
      <c r="P43" s="52">
        <f t="shared" si="5"/>
        <v>-7.1443298969072158E-2</v>
      </c>
      <c r="Q43" s="52">
        <f t="shared" si="6"/>
        <v>0.10847118907516376</v>
      </c>
      <c r="R43" s="52">
        <f t="shared" si="7"/>
        <v>0.10621521335807051</v>
      </c>
      <c r="S43" s="52">
        <f t="shared" si="8"/>
        <v>2.2559757170932532E-3</v>
      </c>
      <c r="T43" s="52">
        <f t="shared" si="9"/>
        <v>9.8312465977136637E-2</v>
      </c>
      <c r="U43" s="52">
        <f t="shared" si="10"/>
        <v>1.0158723098027123E-2</v>
      </c>
      <c r="V43" s="52">
        <f t="shared" si="11"/>
        <v>8.9484536082474225E-2</v>
      </c>
      <c r="W43" s="52">
        <f t="shared" si="12"/>
        <v>1.8986652992689534E-2</v>
      </c>
      <c r="X43" s="106">
        <v>0.2198</v>
      </c>
      <c r="Y43" s="107">
        <v>0.12959999999999999</v>
      </c>
      <c r="Z43" s="92"/>
      <c r="AA43" s="142"/>
    </row>
    <row r="44" spans="1:27" ht="16" x14ac:dyDescent="0.2">
      <c r="A44" s="73">
        <v>64</v>
      </c>
      <c r="B44" s="45" t="s">
        <v>66</v>
      </c>
      <c r="C44" s="83">
        <v>170</v>
      </c>
      <c r="D44" s="151">
        <v>153</v>
      </c>
      <c r="E44" s="52">
        <f t="shared" si="0"/>
        <v>-0.1</v>
      </c>
      <c r="F44" s="160">
        <v>175</v>
      </c>
      <c r="G44" s="52">
        <f t="shared" si="1"/>
        <v>-0.12571428571428572</v>
      </c>
      <c r="H44" s="164">
        <v>139</v>
      </c>
      <c r="I44" s="52">
        <f t="shared" si="2"/>
        <v>0.10071942446043165</v>
      </c>
      <c r="J44" s="151">
        <v>1544</v>
      </c>
      <c r="K44" s="88">
        <v>1798</v>
      </c>
      <c r="L44" s="54">
        <f t="shared" si="3"/>
        <v>-0.14126807563959956</v>
      </c>
      <c r="M44" s="169">
        <v>1715</v>
      </c>
      <c r="N44" s="54">
        <f t="shared" si="4"/>
        <v>-9.9708454810495631E-2</v>
      </c>
      <c r="O44" s="174">
        <v>1593</v>
      </c>
      <c r="P44" s="52">
        <f t="shared" si="5"/>
        <v>-3.0759573132454487E-2</v>
      </c>
      <c r="Q44" s="52">
        <f t="shared" si="6"/>
        <v>9.9093264248704668E-2</v>
      </c>
      <c r="R44" s="52">
        <f t="shared" si="7"/>
        <v>9.4549499443826471E-2</v>
      </c>
      <c r="S44" s="52">
        <f t="shared" si="8"/>
        <v>4.5437648048781976E-3</v>
      </c>
      <c r="T44" s="52">
        <f t="shared" si="9"/>
        <v>0.10204081632653061</v>
      </c>
      <c r="U44" s="52">
        <f t="shared" si="10"/>
        <v>-2.9475520778259462E-3</v>
      </c>
      <c r="V44" s="52">
        <f t="shared" si="11"/>
        <v>8.7256748273697421E-2</v>
      </c>
      <c r="W44" s="52">
        <f t="shared" si="12"/>
        <v>1.1836515975007247E-2</v>
      </c>
      <c r="X44" s="100"/>
      <c r="Y44" s="100"/>
      <c r="Z44" s="92"/>
      <c r="AA44" s="142"/>
    </row>
    <row r="45" spans="1:27" ht="16" x14ac:dyDescent="0.2">
      <c r="A45" s="73">
        <v>67</v>
      </c>
      <c r="B45" s="45" t="s">
        <v>67</v>
      </c>
      <c r="C45" s="76">
        <v>650</v>
      </c>
      <c r="D45" s="151">
        <v>616</v>
      </c>
      <c r="E45" s="52">
        <f t="shared" si="0"/>
        <v>-5.2307692307692305E-2</v>
      </c>
      <c r="F45" s="160">
        <v>662</v>
      </c>
      <c r="G45" s="52">
        <f t="shared" si="1"/>
        <v>-6.9486404833836862E-2</v>
      </c>
      <c r="H45" s="164">
        <v>633</v>
      </c>
      <c r="I45" s="52">
        <f t="shared" si="2"/>
        <v>-2.6856240126382307E-2</v>
      </c>
      <c r="J45" s="151">
        <v>5765</v>
      </c>
      <c r="K45" s="88">
        <v>5853</v>
      </c>
      <c r="L45" s="54">
        <f t="shared" si="3"/>
        <v>-1.5035024773620365E-2</v>
      </c>
      <c r="M45" s="169">
        <v>5757</v>
      </c>
      <c r="N45" s="54">
        <f t="shared" si="4"/>
        <v>1.3896126454750739E-3</v>
      </c>
      <c r="O45" s="174">
        <v>6564</v>
      </c>
      <c r="P45" s="52">
        <f t="shared" si="5"/>
        <v>-0.12172455819622181</v>
      </c>
      <c r="Q45" s="52">
        <f t="shared" si="6"/>
        <v>0.10685169124024284</v>
      </c>
      <c r="R45" s="52">
        <f t="shared" si="7"/>
        <v>0.11105416025969589</v>
      </c>
      <c r="S45" s="52">
        <f t="shared" si="8"/>
        <v>-4.2024690194530506E-3</v>
      </c>
      <c r="T45" s="52">
        <f t="shared" si="9"/>
        <v>0.11499044641306236</v>
      </c>
      <c r="U45" s="52">
        <f t="shared" si="10"/>
        <v>-8.1387551728195201E-3</v>
      </c>
      <c r="V45" s="52">
        <f t="shared" si="11"/>
        <v>9.6435100548446076E-2</v>
      </c>
      <c r="W45" s="52">
        <f t="shared" si="12"/>
        <v>1.0416590691796762E-2</v>
      </c>
      <c r="X45" s="100"/>
      <c r="Y45" s="100"/>
      <c r="Z45" s="80">
        <v>0.38059999999999999</v>
      </c>
      <c r="AA45" s="140">
        <v>0.43</v>
      </c>
    </row>
    <row r="46" spans="1:27" ht="16" x14ac:dyDescent="0.2">
      <c r="A46" s="73">
        <v>68</v>
      </c>
      <c r="B46" s="45" t="s">
        <v>68</v>
      </c>
      <c r="C46" s="83">
        <v>1589</v>
      </c>
      <c r="D46" s="151">
        <v>1632</v>
      </c>
      <c r="E46" s="52">
        <f t="shared" si="0"/>
        <v>2.7061044682190057E-2</v>
      </c>
      <c r="F46" s="160">
        <v>1435</v>
      </c>
      <c r="G46" s="52">
        <f t="shared" si="1"/>
        <v>0.13728222996515679</v>
      </c>
      <c r="H46" s="164">
        <v>1246</v>
      </c>
      <c r="I46" s="52">
        <f t="shared" si="2"/>
        <v>0.3097913322632424</v>
      </c>
      <c r="J46" s="151">
        <v>14786</v>
      </c>
      <c r="K46" s="88">
        <v>14608</v>
      </c>
      <c r="L46" s="54">
        <f t="shared" si="3"/>
        <v>1.2185104052573932E-2</v>
      </c>
      <c r="M46" s="169">
        <v>13708</v>
      </c>
      <c r="N46" s="54">
        <f t="shared" si="4"/>
        <v>7.8640210096294141E-2</v>
      </c>
      <c r="O46" s="174">
        <v>14692</v>
      </c>
      <c r="P46" s="52">
        <f t="shared" si="5"/>
        <v>6.3980397495235503E-3</v>
      </c>
      <c r="Q46" s="52">
        <f t="shared" si="6"/>
        <v>0.11037467875016908</v>
      </c>
      <c r="R46" s="52">
        <f t="shared" si="7"/>
        <v>0.10877601314348302</v>
      </c>
      <c r="S46" s="52">
        <f t="shared" si="8"/>
        <v>1.5986656066860616E-3</v>
      </c>
      <c r="T46" s="52">
        <f t="shared" si="9"/>
        <v>0.10468339655675518</v>
      </c>
      <c r="U46" s="52">
        <f t="shared" si="10"/>
        <v>5.6912821934139018E-3</v>
      </c>
      <c r="V46" s="52">
        <f t="shared" si="11"/>
        <v>8.4808058807514297E-2</v>
      </c>
      <c r="W46" s="52">
        <f t="shared" si="12"/>
        <v>2.5566619942654786E-2</v>
      </c>
      <c r="X46" s="100">
        <v>0.1474</v>
      </c>
      <c r="Y46" s="100">
        <v>0.1484</v>
      </c>
      <c r="Z46" s="80">
        <v>0.57940000000000003</v>
      </c>
      <c r="AA46" s="140">
        <v>0.48220000000000002</v>
      </c>
    </row>
    <row r="47" spans="1:27" ht="16" x14ac:dyDescent="0.2">
      <c r="A47" s="81">
        <v>69</v>
      </c>
      <c r="B47" s="59" t="s">
        <v>69</v>
      </c>
      <c r="C47" s="62">
        <v>438</v>
      </c>
      <c r="D47" s="152">
        <v>455</v>
      </c>
      <c r="E47" s="56">
        <f t="shared" si="0"/>
        <v>3.8812785388127852E-2</v>
      </c>
      <c r="F47" s="161">
        <v>376</v>
      </c>
      <c r="G47" s="56">
        <f t="shared" si="1"/>
        <v>0.21010638297872342</v>
      </c>
      <c r="H47" s="165">
        <v>389</v>
      </c>
      <c r="I47" s="56">
        <f t="shared" si="2"/>
        <v>0.16966580976863754</v>
      </c>
      <c r="J47" s="152">
        <v>4384</v>
      </c>
      <c r="K47" s="68">
        <v>4372</v>
      </c>
      <c r="L47" s="57">
        <f t="shared" si="3"/>
        <v>2.7447392497712718E-3</v>
      </c>
      <c r="M47" s="168">
        <v>4097</v>
      </c>
      <c r="N47" s="57">
        <f t="shared" si="4"/>
        <v>7.0051257017329754E-2</v>
      </c>
      <c r="O47" s="173">
        <v>4635</v>
      </c>
      <c r="P47" s="56">
        <f t="shared" si="5"/>
        <v>-5.4153182308522112E-2</v>
      </c>
      <c r="Q47" s="56">
        <f t="shared" si="6"/>
        <v>0.10378649635036497</v>
      </c>
      <c r="R47" s="56">
        <f t="shared" si="7"/>
        <v>0.10018298261665141</v>
      </c>
      <c r="S47" s="56">
        <f t="shared" si="8"/>
        <v>3.6035137337135509E-3</v>
      </c>
      <c r="T47" s="56">
        <f t="shared" si="9"/>
        <v>9.1774469123749078E-2</v>
      </c>
      <c r="U47" s="56">
        <f t="shared" si="10"/>
        <v>1.2012027226615887E-2</v>
      </c>
      <c r="V47" s="56">
        <f t="shared" si="11"/>
        <v>8.3926645091693633E-2</v>
      </c>
      <c r="W47" s="56">
        <f t="shared" si="12"/>
        <v>1.9859851258671332E-2</v>
      </c>
      <c r="X47" s="102">
        <v>0.16669999999999999</v>
      </c>
      <c r="Y47" s="102">
        <v>0.13869999999999999</v>
      </c>
      <c r="Z47" s="65">
        <v>0.37140000000000001</v>
      </c>
      <c r="AA47" s="143">
        <v>0.45029999999999998</v>
      </c>
    </row>
    <row r="48" spans="1:27" ht="16" x14ac:dyDescent="0.2">
      <c r="A48" s="73">
        <v>70</v>
      </c>
      <c r="B48" s="45" t="s">
        <v>70</v>
      </c>
      <c r="C48" s="83">
        <v>384</v>
      </c>
      <c r="D48" s="151">
        <v>395</v>
      </c>
      <c r="E48" s="52">
        <f t="shared" si="0"/>
        <v>2.8645833333333332E-2</v>
      </c>
      <c r="F48" s="160">
        <v>400</v>
      </c>
      <c r="G48" s="52">
        <f t="shared" si="1"/>
        <v>-1.2500000000000001E-2</v>
      </c>
      <c r="H48" s="164">
        <v>341</v>
      </c>
      <c r="I48" s="52">
        <f t="shared" si="2"/>
        <v>0.15835777126099707</v>
      </c>
      <c r="J48" s="151">
        <v>3858</v>
      </c>
      <c r="K48" s="88">
        <v>3871</v>
      </c>
      <c r="L48" s="54">
        <f t="shared" si="3"/>
        <v>-3.3583053474554379E-3</v>
      </c>
      <c r="M48" s="169">
        <v>3764</v>
      </c>
      <c r="N48" s="54">
        <f t="shared" si="4"/>
        <v>2.4973432518597238E-2</v>
      </c>
      <c r="O48" s="174">
        <v>4391</v>
      </c>
      <c r="P48" s="52">
        <f t="shared" si="5"/>
        <v>-0.12138465042131633</v>
      </c>
      <c r="Q48" s="52">
        <f t="shared" si="6"/>
        <v>0.10238465526179368</v>
      </c>
      <c r="R48" s="52">
        <f t="shared" si="7"/>
        <v>9.9199173340222171E-2</v>
      </c>
      <c r="S48" s="52">
        <f t="shared" si="8"/>
        <v>3.1854819215715036E-3</v>
      </c>
      <c r="T48" s="52">
        <f t="shared" si="9"/>
        <v>0.10626992561105207</v>
      </c>
      <c r="U48" s="52">
        <f t="shared" si="10"/>
        <v>-3.8852703492583962E-3</v>
      </c>
      <c r="V48" s="52">
        <f t="shared" si="11"/>
        <v>7.765884764290594E-2</v>
      </c>
      <c r="W48" s="52">
        <f t="shared" si="12"/>
        <v>2.4725807618887735E-2</v>
      </c>
      <c r="X48" s="100">
        <v>-0.46429999999999999</v>
      </c>
      <c r="Y48" s="100">
        <v>0.18429999999999999</v>
      </c>
      <c r="Z48" s="80">
        <v>0.70730000000000004</v>
      </c>
      <c r="AA48" s="140">
        <v>6.1800000000000001E-2</v>
      </c>
    </row>
    <row r="49" spans="1:27" ht="16" x14ac:dyDescent="0.2">
      <c r="A49" s="73">
        <v>71</v>
      </c>
      <c r="B49" s="45" t="s">
        <v>71</v>
      </c>
      <c r="C49" s="83">
        <v>1233</v>
      </c>
      <c r="D49" s="151">
        <v>1242</v>
      </c>
      <c r="E49" s="52">
        <f t="shared" si="0"/>
        <v>7.2992700729927005E-3</v>
      </c>
      <c r="F49" s="160">
        <v>1154</v>
      </c>
      <c r="G49" s="52">
        <f t="shared" si="1"/>
        <v>7.6256499133448868E-2</v>
      </c>
      <c r="H49" s="164">
        <v>973</v>
      </c>
      <c r="I49" s="52">
        <f t="shared" si="2"/>
        <v>0.27646454265159304</v>
      </c>
      <c r="J49" s="151">
        <v>9571</v>
      </c>
      <c r="K49" s="88">
        <v>9189</v>
      </c>
      <c r="L49" s="54">
        <f t="shared" si="3"/>
        <v>4.1571444117967135E-2</v>
      </c>
      <c r="M49" s="169">
        <v>8597</v>
      </c>
      <c r="N49" s="54">
        <f t="shared" si="4"/>
        <v>0.11329533558217983</v>
      </c>
      <c r="O49" s="174">
        <v>9305</v>
      </c>
      <c r="P49" s="52">
        <f t="shared" si="5"/>
        <v>2.8586781300376143E-2</v>
      </c>
      <c r="Q49" s="52">
        <f t="shared" si="6"/>
        <v>0.12976700449273848</v>
      </c>
      <c r="R49" s="52">
        <f t="shared" si="7"/>
        <v>0.13418217433888344</v>
      </c>
      <c r="S49" s="52">
        <f t="shared" si="8"/>
        <v>-4.4151698461449562E-3</v>
      </c>
      <c r="T49" s="52">
        <f t="shared" si="9"/>
        <v>0.13423287193206931</v>
      </c>
      <c r="U49" s="52">
        <f t="shared" si="10"/>
        <v>-4.465867439330834E-3</v>
      </c>
      <c r="V49" s="52">
        <f t="shared" si="11"/>
        <v>0.1045674368619022</v>
      </c>
      <c r="W49" s="52">
        <f t="shared" si="12"/>
        <v>2.5199567630836278E-2</v>
      </c>
      <c r="X49" s="100">
        <v>8.6499999999999994E-2</v>
      </c>
      <c r="Y49" s="100">
        <v>0.1313</v>
      </c>
      <c r="Z49" s="80">
        <v>0.28449999999999998</v>
      </c>
      <c r="AA49" s="140">
        <v>0.2591</v>
      </c>
    </row>
    <row r="50" spans="1:27" ht="16" x14ac:dyDescent="0.2">
      <c r="A50" s="73">
        <v>72</v>
      </c>
      <c r="B50" s="45" t="s">
        <v>72</v>
      </c>
      <c r="C50" s="83">
        <v>841</v>
      </c>
      <c r="D50" s="151">
        <v>893</v>
      </c>
      <c r="E50" s="52">
        <f t="shared" si="0"/>
        <v>6.1831153388822828E-2</v>
      </c>
      <c r="F50" s="160">
        <v>842</v>
      </c>
      <c r="G50" s="52">
        <f t="shared" si="1"/>
        <v>6.0570071258907364E-2</v>
      </c>
      <c r="H50" s="164">
        <v>761</v>
      </c>
      <c r="I50" s="52">
        <f t="shared" si="2"/>
        <v>0.17345597897503284</v>
      </c>
      <c r="J50" s="151">
        <v>5487</v>
      </c>
      <c r="K50" s="88">
        <v>5428</v>
      </c>
      <c r="L50" s="54">
        <f t="shared" si="3"/>
        <v>1.0869565217391304E-2</v>
      </c>
      <c r="M50" s="169">
        <v>5188</v>
      </c>
      <c r="N50" s="54">
        <f t="shared" si="4"/>
        <v>5.7632999228989977E-2</v>
      </c>
      <c r="O50" s="174">
        <v>5649</v>
      </c>
      <c r="P50" s="52">
        <f t="shared" si="5"/>
        <v>-2.8677642060541689E-2</v>
      </c>
      <c r="Q50" s="52">
        <f t="shared" si="6"/>
        <v>0.16274831419719338</v>
      </c>
      <c r="R50" s="52">
        <f t="shared" si="7"/>
        <v>0.15493736182756079</v>
      </c>
      <c r="S50" s="52">
        <f t="shared" si="8"/>
        <v>7.8109523696325844E-3</v>
      </c>
      <c r="T50" s="52">
        <f t="shared" si="9"/>
        <v>0.1622976098689283</v>
      </c>
      <c r="U50" s="52">
        <f t="shared" si="10"/>
        <v>4.50704328265078E-4</v>
      </c>
      <c r="V50" s="52">
        <f t="shared" si="11"/>
        <v>0.13471410869180386</v>
      </c>
      <c r="W50" s="52">
        <f t="shared" si="12"/>
        <v>2.8034205505389515E-2</v>
      </c>
      <c r="X50" s="108">
        <v>0.20880000000000001</v>
      </c>
      <c r="Y50" s="108">
        <v>0.2636</v>
      </c>
      <c r="Z50" s="80">
        <v>0.35820000000000002</v>
      </c>
      <c r="AA50" s="140">
        <v>0.3306</v>
      </c>
    </row>
    <row r="51" spans="1:27" ht="16" x14ac:dyDescent="0.2">
      <c r="A51" s="73">
        <v>73</v>
      </c>
      <c r="B51" s="45" t="s">
        <v>73</v>
      </c>
      <c r="C51" s="83">
        <v>1238</v>
      </c>
      <c r="D51" s="151">
        <v>1240</v>
      </c>
      <c r="E51" s="52">
        <f t="shared" si="0"/>
        <v>1.6155088852988692E-3</v>
      </c>
      <c r="F51" s="160">
        <v>1172</v>
      </c>
      <c r="G51" s="52">
        <f t="shared" si="1"/>
        <v>5.8020477815699661E-2</v>
      </c>
      <c r="H51" s="164">
        <v>993</v>
      </c>
      <c r="I51" s="52">
        <f t="shared" si="2"/>
        <v>0.24874118831822759</v>
      </c>
      <c r="J51" s="151">
        <v>15338</v>
      </c>
      <c r="K51" s="88">
        <v>15027</v>
      </c>
      <c r="L51" s="54">
        <f t="shared" si="3"/>
        <v>2.0696080388633794E-2</v>
      </c>
      <c r="M51" s="169">
        <v>14504</v>
      </c>
      <c r="N51" s="54">
        <f t="shared" si="4"/>
        <v>5.7501378929950359E-2</v>
      </c>
      <c r="O51" s="174">
        <v>15087</v>
      </c>
      <c r="P51" s="52">
        <f t="shared" si="5"/>
        <v>1.6636839663286274E-2</v>
      </c>
      <c r="Q51" s="52">
        <f t="shared" si="6"/>
        <v>8.0844960229495375E-2</v>
      </c>
      <c r="R51" s="52">
        <f t="shared" si="7"/>
        <v>8.2385040260863782E-2</v>
      </c>
      <c r="S51" s="52">
        <f t="shared" si="8"/>
        <v>-1.5400800313684071E-3</v>
      </c>
      <c r="T51" s="52">
        <f t="shared" si="9"/>
        <v>8.080529509100938E-2</v>
      </c>
      <c r="U51" s="52">
        <f t="shared" si="10"/>
        <v>3.9665138485994733E-5</v>
      </c>
      <c r="V51" s="52">
        <f t="shared" si="11"/>
        <v>6.5818254126068801E-2</v>
      </c>
      <c r="W51" s="52">
        <f t="shared" si="12"/>
        <v>1.5026706103426574E-2</v>
      </c>
      <c r="X51" s="84">
        <v>9.1700000000000004E-2</v>
      </c>
      <c r="Y51" s="84">
        <v>0.1012</v>
      </c>
      <c r="Z51" s="80">
        <v>0.11840000000000001</v>
      </c>
      <c r="AA51" s="140">
        <v>0.19139999999999999</v>
      </c>
    </row>
    <row r="52" spans="1:27" ht="16" x14ac:dyDescent="0.2">
      <c r="A52" s="73">
        <v>74</v>
      </c>
      <c r="B52" s="45" t="s">
        <v>15</v>
      </c>
      <c r="C52" s="103"/>
      <c r="D52" s="156"/>
      <c r="E52" s="52"/>
      <c r="F52" s="163"/>
      <c r="G52" s="52"/>
      <c r="H52" s="156"/>
      <c r="I52" s="52"/>
      <c r="J52" s="166"/>
      <c r="K52" s="52"/>
      <c r="L52" s="54"/>
      <c r="M52" s="167"/>
      <c r="N52" s="54"/>
      <c r="O52" s="167"/>
      <c r="P52" s="52"/>
      <c r="Q52" s="52"/>
      <c r="R52" s="52"/>
      <c r="S52" s="52"/>
      <c r="T52" s="52"/>
      <c r="U52" s="52"/>
      <c r="V52" s="52"/>
      <c r="W52" s="52"/>
      <c r="X52" s="84"/>
      <c r="Y52" s="84"/>
      <c r="Z52" s="80"/>
      <c r="AA52" s="141"/>
    </row>
    <row r="53" spans="1:27" ht="16" x14ac:dyDescent="0.2">
      <c r="A53" s="73">
        <v>75</v>
      </c>
      <c r="B53" s="45" t="s">
        <v>74</v>
      </c>
      <c r="C53" s="83">
        <v>524</v>
      </c>
      <c r="D53" s="151">
        <v>535</v>
      </c>
      <c r="E53" s="52">
        <f t="shared" si="0"/>
        <v>2.0992366412213741E-2</v>
      </c>
      <c r="F53" s="160">
        <v>468</v>
      </c>
      <c r="G53" s="52">
        <f t="shared" si="1"/>
        <v>0.14316239316239315</v>
      </c>
      <c r="H53" s="164">
        <v>426</v>
      </c>
      <c r="I53" s="52">
        <f t="shared" si="2"/>
        <v>0.25586854460093894</v>
      </c>
      <c r="J53" s="151">
        <v>6394</v>
      </c>
      <c r="K53" s="88">
        <v>6283</v>
      </c>
      <c r="L53" s="54">
        <f t="shared" si="3"/>
        <v>1.7666719719879039E-2</v>
      </c>
      <c r="M53" s="169">
        <v>5978</v>
      </c>
      <c r="N53" s="54">
        <f t="shared" si="4"/>
        <v>6.9588491134158575E-2</v>
      </c>
      <c r="O53" s="174">
        <v>6548</v>
      </c>
      <c r="P53" s="52">
        <f t="shared" si="5"/>
        <v>-2.3518631643249847E-2</v>
      </c>
      <c r="Q53" s="52">
        <f t="shared" si="6"/>
        <v>8.3672192680638094E-2</v>
      </c>
      <c r="R53" s="52">
        <f t="shared" si="7"/>
        <v>8.3399649848798343E-2</v>
      </c>
      <c r="S53" s="52">
        <f t="shared" si="8"/>
        <v>2.7254283183975048E-4</v>
      </c>
      <c r="T53" s="52">
        <f t="shared" si="9"/>
        <v>7.8287052525928408E-2</v>
      </c>
      <c r="U53" s="52">
        <f t="shared" si="10"/>
        <v>5.3851401547096861E-3</v>
      </c>
      <c r="V53" s="52">
        <f t="shared" si="11"/>
        <v>6.5058032987171652E-2</v>
      </c>
      <c r="W53" s="52">
        <f t="shared" si="12"/>
        <v>1.8614159693466442E-2</v>
      </c>
      <c r="X53" s="84">
        <v>0.26469999999999999</v>
      </c>
      <c r="Y53" s="84">
        <v>0.35370000000000001</v>
      </c>
      <c r="Z53" s="80">
        <v>0.25929999999999997</v>
      </c>
      <c r="AA53" s="140">
        <v>0.54800000000000004</v>
      </c>
    </row>
    <row r="54" spans="1:27" ht="16" x14ac:dyDescent="0.2">
      <c r="A54" s="73">
        <v>78</v>
      </c>
      <c r="B54" s="45" t="s">
        <v>9</v>
      </c>
      <c r="C54" s="110"/>
      <c r="D54" s="156"/>
      <c r="E54" s="52"/>
      <c r="F54" s="163"/>
      <c r="G54" s="52"/>
      <c r="H54" s="156"/>
      <c r="I54" s="52"/>
      <c r="J54" s="167"/>
      <c r="K54" s="52"/>
      <c r="L54" s="54"/>
      <c r="M54" s="167"/>
      <c r="N54" s="54"/>
      <c r="O54" s="167"/>
      <c r="P54" s="52"/>
      <c r="Q54" s="52"/>
      <c r="R54" s="52"/>
      <c r="S54" s="52"/>
      <c r="T54" s="52"/>
      <c r="U54" s="52"/>
      <c r="V54" s="52"/>
      <c r="W54" s="52"/>
      <c r="X54" s="84"/>
      <c r="Y54" s="84"/>
      <c r="Z54" s="80"/>
      <c r="AA54" s="141"/>
    </row>
    <row r="55" spans="1:27" ht="16" x14ac:dyDescent="0.2">
      <c r="A55" s="73">
        <v>79</v>
      </c>
      <c r="B55" s="45" t="s">
        <v>75</v>
      </c>
      <c r="C55" s="83">
        <v>1049</v>
      </c>
      <c r="D55" s="151">
        <v>1027</v>
      </c>
      <c r="E55" s="52">
        <f t="shared" si="0"/>
        <v>-2.0972354623450904E-2</v>
      </c>
      <c r="F55" s="160">
        <v>966</v>
      </c>
      <c r="G55" s="52">
        <f t="shared" si="1"/>
        <v>6.3146997929606624E-2</v>
      </c>
      <c r="H55" s="164">
        <v>735</v>
      </c>
      <c r="I55" s="52">
        <f t="shared" si="2"/>
        <v>0.39727891156462586</v>
      </c>
      <c r="J55" s="151">
        <v>8308</v>
      </c>
      <c r="K55" s="88">
        <v>8279</v>
      </c>
      <c r="L55" s="54">
        <f t="shared" si="3"/>
        <v>3.5028385070660709E-3</v>
      </c>
      <c r="M55" s="169">
        <v>7587</v>
      </c>
      <c r="N55" s="54">
        <f t="shared" si="4"/>
        <v>9.5030974034532756E-2</v>
      </c>
      <c r="O55" s="174">
        <v>8649</v>
      </c>
      <c r="P55" s="52">
        <f t="shared" si="5"/>
        <v>-3.9426523297491037E-2</v>
      </c>
      <c r="Q55" s="52">
        <f t="shared" si="6"/>
        <v>0.12361579200770342</v>
      </c>
      <c r="R55" s="52">
        <f t="shared" si="7"/>
        <v>0.12670612392801062</v>
      </c>
      <c r="S55" s="52">
        <f t="shared" si="8"/>
        <v>-3.0903319203071933E-3</v>
      </c>
      <c r="T55" s="52">
        <f t="shared" si="9"/>
        <v>0.12732305258995649</v>
      </c>
      <c r="U55" s="52">
        <f t="shared" si="10"/>
        <v>-3.7072605822530691E-3</v>
      </c>
      <c r="V55" s="52">
        <f t="shared" si="11"/>
        <v>8.4980922650017346E-2</v>
      </c>
      <c r="W55" s="52">
        <f t="shared" si="12"/>
        <v>3.8634869357686077E-2</v>
      </c>
      <c r="X55" s="84">
        <v>0.1138</v>
      </c>
      <c r="Y55" s="84">
        <v>0.1573</v>
      </c>
      <c r="Z55" s="80">
        <v>0.39439999999999997</v>
      </c>
      <c r="AA55" s="140">
        <v>0.41420000000000001</v>
      </c>
    </row>
    <row r="56" spans="1:27" ht="16" x14ac:dyDescent="0.2">
      <c r="A56" s="73">
        <v>81</v>
      </c>
      <c r="B56" s="45" t="s">
        <v>7</v>
      </c>
      <c r="C56" s="103"/>
      <c r="D56" s="156"/>
      <c r="E56" s="52"/>
      <c r="F56" s="163"/>
      <c r="G56" s="52"/>
      <c r="H56" s="156"/>
      <c r="I56" s="52"/>
      <c r="J56" s="156"/>
      <c r="K56" s="52"/>
      <c r="L56" s="54"/>
      <c r="M56" s="156"/>
      <c r="N56" s="54"/>
      <c r="O56" s="156"/>
      <c r="P56" s="52"/>
      <c r="Q56" s="52"/>
      <c r="R56" s="52"/>
      <c r="S56" s="52"/>
      <c r="T56" s="52"/>
      <c r="U56" s="52"/>
      <c r="V56" s="52"/>
      <c r="W56" s="52"/>
      <c r="X56" s="84"/>
      <c r="Y56" s="84"/>
      <c r="Z56" s="80"/>
      <c r="AA56" s="141"/>
    </row>
    <row r="57" spans="1:27" ht="16" x14ac:dyDescent="0.2">
      <c r="A57" s="73">
        <v>82</v>
      </c>
      <c r="B57" s="45" t="s">
        <v>76</v>
      </c>
      <c r="C57" s="83">
        <v>473</v>
      </c>
      <c r="D57" s="151">
        <v>486</v>
      </c>
      <c r="E57" s="52">
        <f t="shared" si="0"/>
        <v>2.748414376321353E-2</v>
      </c>
      <c r="F57" s="160">
        <v>421</v>
      </c>
      <c r="G57" s="52">
        <f t="shared" si="1"/>
        <v>0.15439429928741091</v>
      </c>
      <c r="H57" s="164">
        <v>339</v>
      </c>
      <c r="I57" s="52">
        <f t="shared" si="2"/>
        <v>0.4336283185840708</v>
      </c>
      <c r="J57" s="151">
        <v>4378</v>
      </c>
      <c r="K57" s="88">
        <v>4327</v>
      </c>
      <c r="L57" s="54">
        <f t="shared" si="3"/>
        <v>1.1786457129651028E-2</v>
      </c>
      <c r="M57" s="169">
        <v>4802</v>
      </c>
      <c r="N57" s="54">
        <f t="shared" si="4"/>
        <v>-8.829654310703873E-2</v>
      </c>
      <c r="O57" s="174">
        <v>5481</v>
      </c>
      <c r="P57" s="52">
        <f t="shared" si="5"/>
        <v>-0.20124064951651158</v>
      </c>
      <c r="Q57" s="52">
        <f t="shared" si="6"/>
        <v>0.11100959342165373</v>
      </c>
      <c r="R57" s="52">
        <f t="shared" si="7"/>
        <v>0.10931361220244973</v>
      </c>
      <c r="S57" s="52">
        <f t="shared" si="8"/>
        <v>1.6959812192040014E-3</v>
      </c>
      <c r="T57" s="52">
        <f t="shared" si="9"/>
        <v>8.7671803415243652E-2</v>
      </c>
      <c r="U57" s="52">
        <f t="shared" si="10"/>
        <v>2.3337790006410078E-2</v>
      </c>
      <c r="V57" s="52">
        <f t="shared" si="11"/>
        <v>6.1850027367268745E-2</v>
      </c>
      <c r="W57" s="52">
        <f t="shared" si="12"/>
        <v>4.9159566054384984E-2</v>
      </c>
      <c r="X57" s="84">
        <v>0.28070000000000001</v>
      </c>
      <c r="Y57" s="84">
        <v>0.28620000000000001</v>
      </c>
      <c r="Z57" s="80">
        <v>0.33329999999999999</v>
      </c>
      <c r="AA57" s="140">
        <v>0.31259999999999999</v>
      </c>
    </row>
    <row r="58" spans="1:27" ht="16" x14ac:dyDescent="0.2">
      <c r="A58" s="73">
        <v>83</v>
      </c>
      <c r="B58" s="45" t="s">
        <v>77</v>
      </c>
      <c r="C58" s="83">
        <v>731</v>
      </c>
      <c r="D58" s="151">
        <v>748</v>
      </c>
      <c r="E58" s="52">
        <f t="shared" si="0"/>
        <v>2.3255813953488372E-2</v>
      </c>
      <c r="F58" s="160">
        <v>756</v>
      </c>
      <c r="G58" s="52">
        <f t="shared" si="1"/>
        <v>-1.0582010582010581E-2</v>
      </c>
      <c r="H58" s="164">
        <v>549</v>
      </c>
      <c r="I58" s="52">
        <f t="shared" si="2"/>
        <v>0.36247723132969034</v>
      </c>
      <c r="J58" s="151">
        <v>6397</v>
      </c>
      <c r="K58" s="88">
        <v>6283</v>
      </c>
      <c r="L58" s="54">
        <f t="shared" si="3"/>
        <v>1.8144198631227119E-2</v>
      </c>
      <c r="M58" s="169">
        <v>5818</v>
      </c>
      <c r="N58" s="54">
        <f t="shared" si="4"/>
        <v>9.9518734960467509E-2</v>
      </c>
      <c r="O58" s="174">
        <v>7053</v>
      </c>
      <c r="P58" s="52">
        <f t="shared" si="5"/>
        <v>-9.3010066638309935E-2</v>
      </c>
      <c r="Q58" s="52">
        <f t="shared" si="6"/>
        <v>0.11692981084883539</v>
      </c>
      <c r="R58" s="52">
        <f t="shared" si="7"/>
        <v>0.11634569473181601</v>
      </c>
      <c r="S58" s="52">
        <f t="shared" si="8"/>
        <v>5.8411611701937594E-4</v>
      </c>
      <c r="T58" s="52">
        <f t="shared" si="9"/>
        <v>0.12994156067377105</v>
      </c>
      <c r="U58" s="52">
        <f t="shared" si="10"/>
        <v>-1.3011749824935664E-2</v>
      </c>
      <c r="V58" s="52">
        <f t="shared" si="11"/>
        <v>7.7839217354317314E-2</v>
      </c>
      <c r="W58" s="52">
        <f t="shared" si="12"/>
        <v>3.9090593494518072E-2</v>
      </c>
      <c r="X58" s="84">
        <v>0.1522</v>
      </c>
      <c r="Y58" s="84">
        <v>8.9300000000000004E-2</v>
      </c>
      <c r="Z58" s="80">
        <v>0.34410000000000002</v>
      </c>
      <c r="AA58" s="140">
        <v>0.27929999999999999</v>
      </c>
    </row>
    <row r="59" spans="1:27" ht="16" x14ac:dyDescent="0.2">
      <c r="A59" s="73">
        <v>84</v>
      </c>
      <c r="B59" s="45" t="s">
        <v>11</v>
      </c>
      <c r="C59" s="103"/>
      <c r="D59" s="156"/>
      <c r="E59" s="52"/>
      <c r="F59" s="163"/>
      <c r="G59" s="52"/>
      <c r="H59" s="156"/>
      <c r="I59" s="52"/>
      <c r="J59" s="167"/>
      <c r="K59" s="52"/>
      <c r="L59" s="54"/>
      <c r="M59" s="167"/>
      <c r="N59" s="54"/>
      <c r="O59" s="167"/>
      <c r="P59" s="52"/>
      <c r="Q59" s="52"/>
      <c r="R59" s="52"/>
      <c r="S59" s="52"/>
      <c r="T59" s="52"/>
      <c r="U59" s="52"/>
      <c r="V59" s="52"/>
      <c r="W59" s="52"/>
      <c r="X59" s="84"/>
      <c r="Y59" s="84"/>
      <c r="Z59" s="80"/>
      <c r="AA59" s="141"/>
    </row>
    <row r="60" spans="1:27" ht="16" x14ac:dyDescent="0.2">
      <c r="A60" s="73">
        <v>85</v>
      </c>
      <c r="B60" s="45" t="s">
        <v>12</v>
      </c>
      <c r="C60" s="103"/>
      <c r="D60" s="156"/>
      <c r="E60" s="52"/>
      <c r="F60" s="163"/>
      <c r="G60" s="52"/>
      <c r="H60" s="156"/>
      <c r="I60" s="52"/>
      <c r="J60" s="167"/>
      <c r="K60" s="52"/>
      <c r="L60" s="54"/>
      <c r="M60" s="167"/>
      <c r="N60" s="54"/>
      <c r="O60" s="167"/>
      <c r="P60" s="52"/>
      <c r="Q60" s="52"/>
      <c r="R60" s="52"/>
      <c r="S60" s="52"/>
      <c r="T60" s="52"/>
      <c r="U60" s="52"/>
      <c r="V60" s="52"/>
      <c r="W60" s="52"/>
      <c r="X60" s="84"/>
      <c r="Y60" s="84"/>
      <c r="Z60" s="80"/>
      <c r="AA60" s="141"/>
    </row>
    <row r="61" spans="1:27" ht="16" x14ac:dyDescent="0.2">
      <c r="A61" s="73">
        <v>87</v>
      </c>
      <c r="B61" s="45" t="s">
        <v>8</v>
      </c>
      <c r="C61" s="103"/>
      <c r="D61" s="156"/>
      <c r="E61" s="52"/>
      <c r="F61" s="163"/>
      <c r="G61" s="52"/>
      <c r="H61" s="156"/>
      <c r="I61" s="52"/>
      <c r="J61" s="167"/>
      <c r="K61" s="52"/>
      <c r="L61" s="54"/>
      <c r="M61" s="167"/>
      <c r="N61" s="54"/>
      <c r="O61" s="167"/>
      <c r="P61" s="52"/>
      <c r="Q61" s="52"/>
      <c r="R61" s="52"/>
      <c r="S61" s="52"/>
      <c r="T61" s="52"/>
      <c r="U61" s="52"/>
      <c r="V61" s="52"/>
      <c r="W61" s="52"/>
      <c r="X61" s="84"/>
      <c r="Y61" s="84"/>
      <c r="Z61" s="80"/>
      <c r="AA61" s="141"/>
    </row>
    <row r="62" spans="1:27" ht="16" x14ac:dyDescent="0.2">
      <c r="A62" s="73">
        <v>91</v>
      </c>
      <c r="B62" s="45" t="s">
        <v>78</v>
      </c>
      <c r="C62" s="83">
        <v>218</v>
      </c>
      <c r="D62" s="151">
        <v>234</v>
      </c>
      <c r="E62" s="52">
        <f t="shared" si="0"/>
        <v>7.3394495412844041E-2</v>
      </c>
      <c r="F62" s="160">
        <v>237</v>
      </c>
      <c r="G62" s="52">
        <f t="shared" si="1"/>
        <v>-1.2658227848101266E-2</v>
      </c>
      <c r="H62" s="164">
        <v>211</v>
      </c>
      <c r="I62" s="52">
        <f t="shared" si="2"/>
        <v>0.10900473933649289</v>
      </c>
      <c r="J62" s="151">
        <v>4360</v>
      </c>
      <c r="K62" s="88">
        <v>4536</v>
      </c>
      <c r="L62" s="54">
        <f t="shared" si="3"/>
        <v>-3.8800705467372132E-2</v>
      </c>
      <c r="M62" s="169">
        <v>4686</v>
      </c>
      <c r="N62" s="54">
        <f t="shared" si="4"/>
        <v>-6.9568928723858295E-2</v>
      </c>
      <c r="O62" s="174">
        <v>5434</v>
      </c>
      <c r="P62" s="52">
        <f t="shared" si="5"/>
        <v>-0.19764446080235554</v>
      </c>
      <c r="Q62" s="52">
        <f t="shared" si="6"/>
        <v>5.3669724770642205E-2</v>
      </c>
      <c r="R62" s="52">
        <f t="shared" si="7"/>
        <v>4.8059964726631391E-2</v>
      </c>
      <c r="S62" s="52">
        <f t="shared" si="8"/>
        <v>5.6097600440108142E-3</v>
      </c>
      <c r="T62" s="52">
        <f t="shared" si="9"/>
        <v>5.0576184379001278E-2</v>
      </c>
      <c r="U62" s="52">
        <f t="shared" si="10"/>
        <v>3.0935403916409268E-3</v>
      </c>
      <c r="V62" s="52">
        <f t="shared" si="11"/>
        <v>3.8829591461170411E-2</v>
      </c>
      <c r="W62" s="52">
        <f t="shared" si="12"/>
        <v>1.4840133309471794E-2</v>
      </c>
      <c r="X62" s="84">
        <v>0.36359999999999998</v>
      </c>
      <c r="Y62" s="84">
        <v>0.29459999999999997</v>
      </c>
      <c r="Z62" s="92"/>
      <c r="AA62" s="142"/>
    </row>
    <row r="63" spans="1:27" ht="16" x14ac:dyDescent="0.2">
      <c r="A63" s="73">
        <v>92</v>
      </c>
      <c r="B63" s="45" t="s">
        <v>14</v>
      </c>
      <c r="C63" s="103"/>
      <c r="D63" s="156"/>
      <c r="E63" s="52"/>
      <c r="F63" s="163"/>
      <c r="G63" s="52"/>
      <c r="H63" s="156"/>
      <c r="I63" s="52"/>
      <c r="J63" s="156"/>
      <c r="K63" s="52"/>
      <c r="L63" s="54"/>
      <c r="M63" s="156"/>
      <c r="N63" s="54"/>
      <c r="O63" s="156"/>
      <c r="P63" s="52"/>
      <c r="Q63" s="52"/>
      <c r="R63" s="52"/>
      <c r="S63" s="52"/>
      <c r="T63" s="52"/>
      <c r="U63" s="52"/>
      <c r="V63" s="52"/>
      <c r="W63" s="52"/>
      <c r="X63" s="84"/>
      <c r="Y63" s="84"/>
      <c r="Z63" s="80"/>
      <c r="AA63" s="141"/>
    </row>
  </sheetData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4E5DE-6972-44C0-B474-0F0C7E08FC90}">
  <dimension ref="A1:AA85"/>
  <sheetViews>
    <sheetView topLeftCell="F50" zoomScale="106" zoomScaleNormal="55" workbookViewId="0">
      <selection activeCell="J5" sqref="J5"/>
    </sheetView>
  </sheetViews>
  <sheetFormatPr baseColWidth="10" defaultColWidth="8.83203125" defaultRowHeight="15" x14ac:dyDescent="0.2"/>
  <cols>
    <col min="1" max="1" width="7.6640625" customWidth="1"/>
    <col min="2" max="2" width="21.6640625" customWidth="1"/>
    <col min="3" max="4" width="20.1640625" customWidth="1"/>
    <col min="5" max="8" width="25" customWidth="1"/>
    <col min="9" max="9" width="27" customWidth="1"/>
    <col min="10" max="13" width="22.5" customWidth="1"/>
    <col min="14" max="17" width="21" customWidth="1"/>
    <col min="18" max="18" width="17.5" customWidth="1"/>
    <col min="19" max="19" width="21.1640625" customWidth="1"/>
    <col min="20" max="21" width="20.5" customWidth="1"/>
    <col min="24" max="24" width="10.5" customWidth="1"/>
    <col min="25" max="25" width="11.5" customWidth="1"/>
  </cols>
  <sheetData>
    <row r="1" spans="1:27" ht="19" x14ac:dyDescent="0.25">
      <c r="A1" s="320" t="s">
        <v>139</v>
      </c>
      <c r="C1" s="1"/>
      <c r="D1" s="1"/>
      <c r="E1" s="1"/>
      <c r="F1" s="1"/>
      <c r="G1" s="1"/>
      <c r="H1" s="1"/>
    </row>
    <row r="2" spans="1:27" ht="16" thickBot="1" x14ac:dyDescent="0.25">
      <c r="F2" s="287"/>
    </row>
    <row r="3" spans="1:27" ht="136" x14ac:dyDescent="0.2">
      <c r="A3" s="46" t="s">
        <v>16</v>
      </c>
      <c r="B3" s="47" t="s">
        <v>17</v>
      </c>
      <c r="C3" s="47" t="s">
        <v>140</v>
      </c>
      <c r="D3" s="47" t="s">
        <v>18</v>
      </c>
      <c r="E3" s="47" t="s">
        <v>0</v>
      </c>
      <c r="F3" s="47" t="s">
        <v>141</v>
      </c>
      <c r="G3" s="47" t="s">
        <v>19</v>
      </c>
      <c r="H3" s="47" t="s">
        <v>142</v>
      </c>
      <c r="I3" s="47" t="s">
        <v>20</v>
      </c>
      <c r="J3" s="47" t="s">
        <v>21</v>
      </c>
      <c r="K3" s="47" t="s">
        <v>143</v>
      </c>
      <c r="L3" s="47" t="s">
        <v>22</v>
      </c>
      <c r="M3" s="47" t="s">
        <v>144</v>
      </c>
      <c r="N3" s="47" t="s">
        <v>23</v>
      </c>
      <c r="O3" s="47" t="s">
        <v>145</v>
      </c>
      <c r="P3" s="47" t="s">
        <v>24</v>
      </c>
      <c r="Q3" s="47" t="s">
        <v>1</v>
      </c>
      <c r="R3" s="47" t="s">
        <v>90</v>
      </c>
      <c r="S3" s="47" t="s">
        <v>25</v>
      </c>
      <c r="T3" s="47" t="s">
        <v>91</v>
      </c>
      <c r="U3" s="47" t="s">
        <v>26</v>
      </c>
      <c r="V3" s="47" t="s">
        <v>92</v>
      </c>
      <c r="W3" s="47" t="s">
        <v>27</v>
      </c>
      <c r="X3" s="47" t="s">
        <v>28</v>
      </c>
      <c r="Y3" s="47" t="s">
        <v>29</v>
      </c>
      <c r="Z3" s="47" t="s">
        <v>30</v>
      </c>
      <c r="AA3" s="48" t="s">
        <v>31</v>
      </c>
    </row>
    <row r="4" spans="1:27" ht="17" thickBot="1" x14ac:dyDescent="0.25">
      <c r="A4" s="73">
        <v>5</v>
      </c>
      <c r="B4" s="45" t="s">
        <v>33</v>
      </c>
      <c r="C4" s="74">
        <v>583</v>
      </c>
      <c r="D4" s="288">
        <v>585</v>
      </c>
      <c r="E4" s="52">
        <f>(D4-C4)/C4</f>
        <v>3.4305317324185248E-3</v>
      </c>
      <c r="F4" s="289">
        <v>495</v>
      </c>
      <c r="G4" s="52">
        <f>(D4-F4)/F4</f>
        <v>0.18181818181818182</v>
      </c>
      <c r="H4" s="289">
        <v>378</v>
      </c>
      <c r="I4" s="52">
        <f>(D4-H4)/H4</f>
        <v>0.54761904761904767</v>
      </c>
      <c r="J4" s="288">
        <v>5550</v>
      </c>
      <c r="K4" s="77">
        <v>5707</v>
      </c>
      <c r="L4" s="54">
        <f>(J4-K4)/K4</f>
        <v>-2.7510075346066233E-2</v>
      </c>
      <c r="M4" s="289">
        <v>5396</v>
      </c>
      <c r="N4" s="54">
        <f>(J4-M4)/M4</f>
        <v>2.853965900667161E-2</v>
      </c>
      <c r="O4" s="290">
        <v>5365</v>
      </c>
      <c r="P4" s="52">
        <f>(J4-O4)/O4</f>
        <v>3.4482758620689655E-2</v>
      </c>
      <c r="Q4" s="52">
        <f>(D4/J4)</f>
        <v>0.10540540540540541</v>
      </c>
      <c r="R4" s="52">
        <f>(C4/K4)</f>
        <v>0.10215524794112493</v>
      </c>
      <c r="S4" s="52">
        <f>(Q4-R4)</f>
        <v>3.2501574642804787E-3</v>
      </c>
      <c r="T4" s="52">
        <f>(F4/M4)</f>
        <v>9.1734618235730175E-2</v>
      </c>
      <c r="U4" s="52">
        <f>(Q4-T4)</f>
        <v>1.3670787169675236E-2</v>
      </c>
      <c r="V4" s="52">
        <f t="shared" ref="V4:V61" si="0">(H4/O4)</f>
        <v>7.0456663560111835E-2</v>
      </c>
      <c r="W4" s="52">
        <f t="shared" ref="W4:W61" si="1">(Q4-V4)</f>
        <v>3.4948741845293577E-2</v>
      </c>
      <c r="X4" s="79">
        <v>-0.8</v>
      </c>
      <c r="Y4" s="72">
        <v>-0.8473497794229502</v>
      </c>
      <c r="Z4" s="80">
        <v>0.5625</v>
      </c>
      <c r="AA4" s="140">
        <v>0.38482187167671034</v>
      </c>
    </row>
    <row r="5" spans="1:27" ht="17" thickBot="1" x14ac:dyDescent="0.25">
      <c r="A5" s="73">
        <v>6</v>
      </c>
      <c r="B5" s="59" t="s">
        <v>34</v>
      </c>
      <c r="C5" s="291">
        <v>171</v>
      </c>
      <c r="D5" s="292">
        <v>169</v>
      </c>
      <c r="E5" s="56">
        <f>(D5-C5)/C5</f>
        <v>-1.1695906432748537E-2</v>
      </c>
      <c r="F5" s="293">
        <v>123</v>
      </c>
      <c r="G5" s="56">
        <f>(D5-F5)/F5</f>
        <v>0.37398373983739835</v>
      </c>
      <c r="H5" s="293">
        <v>230</v>
      </c>
      <c r="I5" s="56">
        <f>(D5-H5)/H5</f>
        <v>-0.26521739130434785</v>
      </c>
      <c r="J5" s="294">
        <v>3336</v>
      </c>
      <c r="K5" s="291">
        <v>3415</v>
      </c>
      <c r="L5" s="57">
        <f>(J5-K5)/K5</f>
        <v>-2.3133235724743777E-2</v>
      </c>
      <c r="M5" s="294">
        <v>3150</v>
      </c>
      <c r="N5" s="57">
        <f>(J5-M5)/M5</f>
        <v>5.904761904761905E-2</v>
      </c>
      <c r="O5" s="294">
        <v>3274</v>
      </c>
      <c r="P5" s="56">
        <f>(J5-O5)/O5</f>
        <v>1.8937080024434942E-2</v>
      </c>
      <c r="Q5" s="56">
        <f>(D5/J5)</f>
        <v>5.0659472422062347E-2</v>
      </c>
      <c r="R5" s="56">
        <f>(C5/K5)</f>
        <v>5.0073206442166909E-2</v>
      </c>
      <c r="S5" s="56">
        <f>(Q5-R5)</f>
        <v>5.8626597989543811E-4</v>
      </c>
      <c r="T5" s="56">
        <f>(F5/M5)</f>
        <v>3.9047619047619046E-2</v>
      </c>
      <c r="U5" s="56">
        <f>(Q5-T5)</f>
        <v>1.1611853374443301E-2</v>
      </c>
      <c r="V5" s="56">
        <f t="shared" si="0"/>
        <v>7.0250458155161885E-2</v>
      </c>
      <c r="W5" s="56">
        <f t="shared" si="1"/>
        <v>-1.9590985733099538E-2</v>
      </c>
      <c r="X5" s="57"/>
      <c r="Y5" s="57"/>
      <c r="Z5" s="65">
        <v>0.53333333333333333</v>
      </c>
      <c r="AA5" s="143">
        <v>0.47567173280795572</v>
      </c>
    </row>
    <row r="6" spans="1:27" ht="17" thickBot="1" x14ac:dyDescent="0.25">
      <c r="A6" s="73">
        <v>8</v>
      </c>
      <c r="B6" s="45" t="s">
        <v>35</v>
      </c>
      <c r="C6" s="295">
        <v>269</v>
      </c>
      <c r="D6" s="288">
        <v>281</v>
      </c>
      <c r="E6" s="52">
        <f>(D6-C6)/C6</f>
        <v>4.4609665427509292E-2</v>
      </c>
      <c r="F6" s="289">
        <v>282</v>
      </c>
      <c r="G6" s="52">
        <f>(D6-F6)/F6</f>
        <v>-3.5460992907801418E-3</v>
      </c>
      <c r="H6" s="289">
        <v>272</v>
      </c>
      <c r="I6" s="52">
        <f>(D6-H6)/H6</f>
        <v>3.3088235294117647E-2</v>
      </c>
      <c r="J6" s="288">
        <v>4924</v>
      </c>
      <c r="K6" s="295">
        <v>5016</v>
      </c>
      <c r="L6" s="54">
        <f>(J6-K6)/K6</f>
        <v>-1.8341307814992026E-2</v>
      </c>
      <c r="M6" s="294">
        <v>4981</v>
      </c>
      <c r="N6" s="54">
        <f>(J6-M6)/M6</f>
        <v>-1.1443485243926922E-2</v>
      </c>
      <c r="O6" s="294">
        <v>5471</v>
      </c>
      <c r="P6" s="52">
        <f>(J6-O6)/O6</f>
        <v>-9.9981721805885576E-2</v>
      </c>
      <c r="Q6" s="52">
        <f>(D6/J6)</f>
        <v>5.7067424857839152E-2</v>
      </c>
      <c r="R6" s="52">
        <f>(C6/K6)</f>
        <v>5.3628389154704942E-2</v>
      </c>
      <c r="S6" s="52">
        <f>(Q6-R6)</f>
        <v>3.4390357031342106E-3</v>
      </c>
      <c r="T6" s="52">
        <f>(F6/M6)</f>
        <v>5.6615137522585825E-2</v>
      </c>
      <c r="U6" s="52">
        <f>(Q6-T6)</f>
        <v>4.522873352533277E-4</v>
      </c>
      <c r="V6" s="52">
        <f t="shared" si="0"/>
        <v>4.9716687991226464E-2</v>
      </c>
      <c r="W6" s="52">
        <f t="shared" si="1"/>
        <v>7.3507368666126879E-3</v>
      </c>
      <c r="X6" s="57"/>
      <c r="Y6" s="57"/>
      <c r="Z6" s="80">
        <v>0.35087719298245612</v>
      </c>
      <c r="AA6" s="140">
        <v>0.43946358079485009</v>
      </c>
    </row>
    <row r="7" spans="1:27" ht="16" x14ac:dyDescent="0.2">
      <c r="A7" s="73">
        <v>10</v>
      </c>
      <c r="B7" s="59" t="s">
        <v>3</v>
      </c>
      <c r="C7" s="296"/>
      <c r="D7" s="297"/>
      <c r="E7" s="56"/>
      <c r="F7" s="297"/>
      <c r="G7" s="56"/>
      <c r="H7" s="297"/>
      <c r="I7" s="56"/>
      <c r="J7" s="297"/>
      <c r="K7" s="296"/>
      <c r="L7" s="57"/>
      <c r="M7" s="297"/>
      <c r="N7" s="57"/>
      <c r="O7" s="297"/>
      <c r="P7" s="56"/>
      <c r="Q7" s="56"/>
      <c r="R7" s="56"/>
      <c r="S7" s="56"/>
      <c r="T7" s="56"/>
      <c r="U7" s="56"/>
      <c r="V7" s="56"/>
      <c r="W7" s="56"/>
      <c r="X7" s="67"/>
      <c r="Y7" s="67"/>
      <c r="Z7" s="65"/>
      <c r="AA7" s="144"/>
    </row>
    <row r="8" spans="1:27" ht="17" thickBot="1" x14ac:dyDescent="0.25">
      <c r="A8" s="81">
        <v>19</v>
      </c>
      <c r="B8" s="45" t="s">
        <v>4</v>
      </c>
      <c r="C8" s="298"/>
      <c r="D8" s="299"/>
      <c r="E8" s="52"/>
      <c r="F8" s="299"/>
      <c r="G8" s="52"/>
      <c r="H8" s="299"/>
      <c r="I8" s="52"/>
      <c r="J8" s="299"/>
      <c r="K8" s="298"/>
      <c r="L8" s="54"/>
      <c r="M8" s="299"/>
      <c r="N8" s="54"/>
      <c r="O8" s="299"/>
      <c r="P8" s="52"/>
      <c r="Q8" s="52"/>
      <c r="R8" s="52"/>
      <c r="S8" s="52"/>
      <c r="T8" s="52"/>
      <c r="U8" s="52"/>
      <c r="V8" s="52"/>
      <c r="W8" s="52"/>
      <c r="X8" s="84"/>
      <c r="Y8" s="84"/>
      <c r="Z8" s="80"/>
      <c r="AA8" s="141"/>
    </row>
    <row r="9" spans="1:27" ht="17" thickBot="1" x14ac:dyDescent="0.25">
      <c r="A9" s="73">
        <v>20</v>
      </c>
      <c r="B9" s="45" t="s">
        <v>36</v>
      </c>
      <c r="C9" s="295">
        <v>406</v>
      </c>
      <c r="D9" s="288">
        <v>400</v>
      </c>
      <c r="E9" s="52">
        <f t="shared" ref="E9:E26" si="2">(D9-C9)/C9</f>
        <v>-1.4778325123152709E-2</v>
      </c>
      <c r="F9" s="289">
        <v>243</v>
      </c>
      <c r="G9" s="52">
        <f t="shared" ref="G9:G26" si="3">(D9-F9)/F9</f>
        <v>0.64609053497942381</v>
      </c>
      <c r="H9" s="300">
        <v>178</v>
      </c>
      <c r="I9" s="52">
        <f t="shared" ref="I9:I26" si="4">(D9-H9)/H9</f>
        <v>1.247191011235955</v>
      </c>
      <c r="J9" s="301">
        <v>3894</v>
      </c>
      <c r="K9" s="295">
        <v>3983</v>
      </c>
      <c r="L9" s="54">
        <f t="shared" ref="L9:L26" si="5">(J9-K9)/K9</f>
        <v>-2.2344966105950288E-2</v>
      </c>
      <c r="M9" s="301">
        <v>3657</v>
      </c>
      <c r="N9" s="54">
        <f t="shared" ref="N9:N26" si="6">(J9-M9)/M9</f>
        <v>6.4807219031993435E-2</v>
      </c>
      <c r="O9" s="301">
        <v>4045</v>
      </c>
      <c r="P9" s="52">
        <f t="shared" ref="P9:P26" si="7">(J9-O9)/O9</f>
        <v>-3.7330037082818297E-2</v>
      </c>
      <c r="Q9" s="52">
        <f t="shared" ref="Q9:Q26" si="8">(D9/J9)</f>
        <v>0.1027221366204417</v>
      </c>
      <c r="R9" s="52">
        <f t="shared" ref="R9:R26" si="9">(C9/K9)</f>
        <v>0.10193321616871705</v>
      </c>
      <c r="S9" s="52">
        <f t="shared" ref="S9:S26" si="10">(Q9-R9)</f>
        <v>7.8892045172465619E-4</v>
      </c>
      <c r="T9" s="52">
        <f t="shared" ref="T9:T26" si="11">(F9/M9)</f>
        <v>6.6447908121410992E-2</v>
      </c>
      <c r="U9" s="52">
        <f t="shared" ref="U9:U26" si="12">(Q9-T9)</f>
        <v>3.6274228499030711E-2</v>
      </c>
      <c r="V9" s="52">
        <f t="shared" si="0"/>
        <v>4.4004944375772556E-2</v>
      </c>
      <c r="W9" s="52">
        <f t="shared" si="1"/>
        <v>5.8717192244669147E-2</v>
      </c>
      <c r="X9" s="87"/>
      <c r="Y9" s="72"/>
      <c r="Z9" s="80">
        <v>0.2711864406779661</v>
      </c>
      <c r="AA9" s="140">
        <v>0.35600245876535597</v>
      </c>
    </row>
    <row r="10" spans="1:27" ht="17" thickBot="1" x14ac:dyDescent="0.25">
      <c r="A10" s="73">
        <v>22</v>
      </c>
      <c r="B10" s="59" t="s">
        <v>37</v>
      </c>
      <c r="C10" s="291">
        <v>1171</v>
      </c>
      <c r="D10" s="292">
        <v>1150</v>
      </c>
      <c r="E10" s="56">
        <f t="shared" si="2"/>
        <v>-1.7933390264730998E-2</v>
      </c>
      <c r="F10" s="293">
        <v>1112</v>
      </c>
      <c r="G10" s="56">
        <f t="shared" si="3"/>
        <v>3.41726618705036E-2</v>
      </c>
      <c r="H10" s="293">
        <v>969</v>
      </c>
      <c r="I10" s="56">
        <f t="shared" si="4"/>
        <v>0.18679050567595459</v>
      </c>
      <c r="J10" s="292">
        <v>8547</v>
      </c>
      <c r="K10" s="291">
        <v>8794</v>
      </c>
      <c r="L10" s="57">
        <f t="shared" si="5"/>
        <v>-2.8087332272003638E-2</v>
      </c>
      <c r="M10" s="294">
        <v>8359</v>
      </c>
      <c r="N10" s="57">
        <f t="shared" si="6"/>
        <v>2.2490728556047373E-2</v>
      </c>
      <c r="O10" s="294">
        <v>8762</v>
      </c>
      <c r="P10" s="56">
        <f t="shared" si="7"/>
        <v>-2.4537776763296052E-2</v>
      </c>
      <c r="Q10" s="56">
        <f t="shared" si="8"/>
        <v>0.13455013455013454</v>
      </c>
      <c r="R10" s="56">
        <f t="shared" si="9"/>
        <v>0.13315897202638163</v>
      </c>
      <c r="S10" s="56">
        <f t="shared" si="10"/>
        <v>1.3911625237529035E-3</v>
      </c>
      <c r="T10" s="56">
        <f t="shared" si="11"/>
        <v>0.13303026677832278</v>
      </c>
      <c r="U10" s="56">
        <f t="shared" si="12"/>
        <v>1.5198677718117615E-3</v>
      </c>
      <c r="V10" s="56">
        <f t="shared" si="0"/>
        <v>0.11059118922620406</v>
      </c>
      <c r="W10" s="56">
        <f t="shared" si="1"/>
        <v>2.3958945323930475E-2</v>
      </c>
      <c r="X10" s="66">
        <v>5.3191489361702128E-2</v>
      </c>
      <c r="Y10" s="66">
        <v>3.8745958108630449E-2</v>
      </c>
      <c r="Z10" s="65">
        <v>0.20224719101123595</v>
      </c>
      <c r="AA10" s="143">
        <v>0.24839716349764518</v>
      </c>
    </row>
    <row r="11" spans="1:27" ht="17" thickBot="1" x14ac:dyDescent="0.25">
      <c r="A11" s="73">
        <v>23</v>
      </c>
      <c r="B11" s="45" t="s">
        <v>38</v>
      </c>
      <c r="C11" s="295">
        <v>2735</v>
      </c>
      <c r="D11" s="288">
        <v>2718</v>
      </c>
      <c r="E11" s="52">
        <f t="shared" si="2"/>
        <v>-6.2157221206581353E-3</v>
      </c>
      <c r="F11" s="302">
        <v>2351</v>
      </c>
      <c r="G11" s="52">
        <f t="shared" si="3"/>
        <v>0.15610378562313909</v>
      </c>
      <c r="H11" s="303">
        <v>1969</v>
      </c>
      <c r="I11" s="52">
        <f t="shared" si="4"/>
        <v>0.38039614017267648</v>
      </c>
      <c r="J11" s="294">
        <v>23357</v>
      </c>
      <c r="K11" s="295">
        <v>23209</v>
      </c>
      <c r="L11" s="54">
        <f t="shared" si="5"/>
        <v>6.3768365720194755E-3</v>
      </c>
      <c r="M11" s="294">
        <v>21582</v>
      </c>
      <c r="N11" s="54">
        <f t="shared" si="6"/>
        <v>8.2244462978407928E-2</v>
      </c>
      <c r="O11" s="294">
        <v>21778</v>
      </c>
      <c r="P11" s="52">
        <f t="shared" si="7"/>
        <v>7.2504362200385711E-2</v>
      </c>
      <c r="Q11" s="52">
        <f t="shared" si="8"/>
        <v>0.1163676842060196</v>
      </c>
      <c r="R11" s="52">
        <f t="shared" si="9"/>
        <v>0.11784221638157612</v>
      </c>
      <c r="S11" s="52">
        <f t="shared" si="10"/>
        <v>-1.4745321755565144E-3</v>
      </c>
      <c r="T11" s="52">
        <f t="shared" si="11"/>
        <v>0.1089333704012603</v>
      </c>
      <c r="U11" s="52">
        <f t="shared" si="12"/>
        <v>7.4343138047592988E-3</v>
      </c>
      <c r="V11" s="52">
        <f t="shared" si="0"/>
        <v>9.0412342731196624E-2</v>
      </c>
      <c r="W11" s="52">
        <f t="shared" si="1"/>
        <v>2.5955341474822979E-2</v>
      </c>
      <c r="X11" s="72">
        <v>0.19343065693430658</v>
      </c>
      <c r="Y11" s="72">
        <v>0.12699505617582479</v>
      </c>
      <c r="Z11" s="80">
        <v>0.22981366459627328</v>
      </c>
      <c r="AA11" s="140">
        <v>0.27066133566176953</v>
      </c>
    </row>
    <row r="12" spans="1:27" ht="17" thickBot="1" x14ac:dyDescent="0.25">
      <c r="A12" s="73">
        <v>27</v>
      </c>
      <c r="B12" s="45" t="s">
        <v>39</v>
      </c>
      <c r="C12" s="295">
        <v>407</v>
      </c>
      <c r="D12" s="288">
        <v>372</v>
      </c>
      <c r="E12" s="52">
        <f t="shared" si="2"/>
        <v>-8.5995085995085999E-2</v>
      </c>
      <c r="F12" s="302">
        <v>352</v>
      </c>
      <c r="G12" s="52">
        <f t="shared" si="3"/>
        <v>5.6818181818181816E-2</v>
      </c>
      <c r="H12" s="303">
        <v>309</v>
      </c>
      <c r="I12" s="52">
        <f t="shared" si="4"/>
        <v>0.20388349514563106</v>
      </c>
      <c r="J12" s="294">
        <v>4468</v>
      </c>
      <c r="K12" s="295">
        <v>4645</v>
      </c>
      <c r="L12" s="54">
        <f t="shared" si="5"/>
        <v>-3.8105489773950486E-2</v>
      </c>
      <c r="M12" s="294">
        <v>4590</v>
      </c>
      <c r="N12" s="54">
        <f t="shared" si="6"/>
        <v>-2.6579520697167756E-2</v>
      </c>
      <c r="O12" s="294">
        <v>5520</v>
      </c>
      <c r="P12" s="52">
        <f t="shared" si="7"/>
        <v>-0.19057971014492753</v>
      </c>
      <c r="Q12" s="52">
        <f t="shared" si="8"/>
        <v>8.3258728737690246E-2</v>
      </c>
      <c r="R12" s="52">
        <f t="shared" si="9"/>
        <v>8.7621097954790103E-2</v>
      </c>
      <c r="S12" s="52">
        <f t="shared" si="10"/>
        <v>-4.3623692170998568E-3</v>
      </c>
      <c r="T12" s="52">
        <f t="shared" si="11"/>
        <v>7.6688453159041395E-2</v>
      </c>
      <c r="U12" s="52">
        <f t="shared" si="12"/>
        <v>6.5702755786488515E-3</v>
      </c>
      <c r="V12" s="52">
        <f t="shared" si="0"/>
        <v>5.597826086956522E-2</v>
      </c>
      <c r="W12" s="52">
        <f t="shared" si="1"/>
        <v>2.7280467868125026E-2</v>
      </c>
      <c r="X12" s="72">
        <v>0.35087719298245612</v>
      </c>
      <c r="Y12" s="72">
        <v>0.16916121083807742</v>
      </c>
      <c r="Z12" s="92">
        <v>0.36</v>
      </c>
      <c r="AA12" s="142">
        <v>0.45104761904761909</v>
      </c>
    </row>
    <row r="13" spans="1:27" ht="17" thickBot="1" x14ac:dyDescent="0.25">
      <c r="A13" s="73">
        <v>28</v>
      </c>
      <c r="B13" s="45" t="s">
        <v>40</v>
      </c>
      <c r="C13" s="295">
        <v>203</v>
      </c>
      <c r="D13" s="288">
        <v>197</v>
      </c>
      <c r="E13" s="52">
        <f t="shared" si="2"/>
        <v>-2.9556650246305417E-2</v>
      </c>
      <c r="F13" s="302">
        <v>197</v>
      </c>
      <c r="G13" s="52">
        <f t="shared" si="3"/>
        <v>0</v>
      </c>
      <c r="H13" s="303">
        <v>205</v>
      </c>
      <c r="I13" s="52">
        <f t="shared" si="4"/>
        <v>-3.9024390243902439E-2</v>
      </c>
      <c r="J13" s="294">
        <v>2948</v>
      </c>
      <c r="K13" s="295">
        <v>2992</v>
      </c>
      <c r="L13" s="54">
        <f t="shared" si="5"/>
        <v>-1.4705882352941176E-2</v>
      </c>
      <c r="M13" s="294">
        <v>3087</v>
      </c>
      <c r="N13" s="54">
        <f t="shared" si="6"/>
        <v>-4.5027534823453189E-2</v>
      </c>
      <c r="O13" s="294">
        <v>3599</v>
      </c>
      <c r="P13" s="52">
        <f t="shared" si="7"/>
        <v>-0.18088357877188108</v>
      </c>
      <c r="Q13" s="52">
        <f t="shared" si="8"/>
        <v>6.6824966078697423E-2</v>
      </c>
      <c r="R13" s="52">
        <f t="shared" si="9"/>
        <v>6.7847593582887694E-2</v>
      </c>
      <c r="S13" s="52">
        <f t="shared" si="10"/>
        <v>-1.022627504190271E-3</v>
      </c>
      <c r="T13" s="52">
        <f t="shared" si="11"/>
        <v>6.3816002591512794E-2</v>
      </c>
      <c r="U13" s="52">
        <f t="shared" si="12"/>
        <v>3.0089634871846294E-3</v>
      </c>
      <c r="V13" s="52">
        <f t="shared" si="0"/>
        <v>5.6960266740761323E-2</v>
      </c>
      <c r="W13" s="52">
        <f t="shared" si="1"/>
        <v>9.8646993379361003E-3</v>
      </c>
      <c r="X13" s="72">
        <v>0.28000000000000003</v>
      </c>
      <c r="Y13" s="72">
        <v>0.20409523809523805</v>
      </c>
      <c r="Z13" s="80">
        <v>0.2857142857142857</v>
      </c>
      <c r="AA13" s="140">
        <v>0.36539184499710819</v>
      </c>
    </row>
    <row r="14" spans="1:27" ht="17" thickBot="1" x14ac:dyDescent="0.25">
      <c r="A14" s="73">
        <v>33</v>
      </c>
      <c r="B14" s="45" t="s">
        <v>41</v>
      </c>
      <c r="C14" s="295">
        <v>696</v>
      </c>
      <c r="D14" s="288">
        <v>719</v>
      </c>
      <c r="E14" s="52">
        <f t="shared" si="2"/>
        <v>3.3045977011494254E-2</v>
      </c>
      <c r="F14" s="302">
        <v>552</v>
      </c>
      <c r="G14" s="52">
        <f t="shared" si="3"/>
        <v>0.30253623188405798</v>
      </c>
      <c r="H14" s="303">
        <v>482</v>
      </c>
      <c r="I14" s="52">
        <f t="shared" si="4"/>
        <v>0.49170124481327798</v>
      </c>
      <c r="J14" s="294">
        <v>13581</v>
      </c>
      <c r="K14" s="295">
        <v>13734</v>
      </c>
      <c r="L14" s="54">
        <f t="shared" si="5"/>
        <v>-1.1140235910878113E-2</v>
      </c>
      <c r="M14" s="294">
        <v>13111</v>
      </c>
      <c r="N14" s="54">
        <f t="shared" si="6"/>
        <v>3.5847761421706967E-2</v>
      </c>
      <c r="O14" s="294">
        <v>14002</v>
      </c>
      <c r="P14" s="52">
        <f t="shared" si="7"/>
        <v>-3.0067133266676187E-2</v>
      </c>
      <c r="Q14" s="52">
        <f t="shared" si="8"/>
        <v>5.2941609601649363E-2</v>
      </c>
      <c r="R14" s="52">
        <f t="shared" si="9"/>
        <v>5.0677151594582789E-2</v>
      </c>
      <c r="S14" s="52">
        <f t="shared" si="10"/>
        <v>2.2644580070665735E-3</v>
      </c>
      <c r="T14" s="52">
        <f t="shared" si="11"/>
        <v>4.2102051712302649E-2</v>
      </c>
      <c r="U14" s="52">
        <f t="shared" si="12"/>
        <v>1.0839557889346714E-2</v>
      </c>
      <c r="V14" s="52">
        <f t="shared" si="0"/>
        <v>3.4423653763748036E-2</v>
      </c>
      <c r="W14" s="52">
        <f t="shared" si="1"/>
        <v>1.8517955837901327E-2</v>
      </c>
      <c r="X14" s="72"/>
      <c r="Y14" s="72"/>
      <c r="Z14" s="80">
        <v>0.38461538461538464</v>
      </c>
      <c r="AA14" s="140">
        <v>0.33229284229284228</v>
      </c>
    </row>
    <row r="15" spans="1:27" ht="17" thickBot="1" x14ac:dyDescent="0.25">
      <c r="A15" s="73">
        <v>34</v>
      </c>
      <c r="B15" s="45" t="s">
        <v>42</v>
      </c>
      <c r="C15" s="295">
        <v>1280</v>
      </c>
      <c r="D15" s="288">
        <v>1229</v>
      </c>
      <c r="E15" s="52">
        <f t="shared" si="2"/>
        <v>-3.9843749999999997E-2</v>
      </c>
      <c r="F15" s="302">
        <v>1319</v>
      </c>
      <c r="G15" s="52">
        <f t="shared" si="3"/>
        <v>-6.8233510235026537E-2</v>
      </c>
      <c r="H15" s="303">
        <v>1195</v>
      </c>
      <c r="I15" s="52">
        <f t="shared" si="4"/>
        <v>2.8451882845188285E-2</v>
      </c>
      <c r="J15" s="294">
        <v>19556</v>
      </c>
      <c r="K15" s="295">
        <v>20201</v>
      </c>
      <c r="L15" s="54">
        <f t="shared" si="5"/>
        <v>-3.1929112420177222E-2</v>
      </c>
      <c r="M15" s="294">
        <v>19092</v>
      </c>
      <c r="N15" s="54">
        <f t="shared" si="6"/>
        <v>2.4303373140582445E-2</v>
      </c>
      <c r="O15" s="294">
        <v>19879</v>
      </c>
      <c r="P15" s="52">
        <f t="shared" si="7"/>
        <v>-1.6248302228482319E-2</v>
      </c>
      <c r="Q15" s="52">
        <f t="shared" si="8"/>
        <v>6.2845162609940677E-2</v>
      </c>
      <c r="R15" s="52">
        <f t="shared" si="9"/>
        <v>6.3363199841591999E-2</v>
      </c>
      <c r="S15" s="52">
        <f t="shared" si="10"/>
        <v>-5.1803723165132209E-4</v>
      </c>
      <c r="T15" s="52">
        <f t="shared" si="11"/>
        <v>6.9086528388853971E-2</v>
      </c>
      <c r="U15" s="52">
        <f t="shared" si="12"/>
        <v>-6.2413657789132937E-3</v>
      </c>
      <c r="V15" s="52">
        <f t="shared" si="0"/>
        <v>6.0113687811258108E-2</v>
      </c>
      <c r="W15" s="52">
        <f t="shared" si="1"/>
        <v>2.7314747986825691E-3</v>
      </c>
      <c r="X15" s="84">
        <v>0.36036036036036034</v>
      </c>
      <c r="Y15" s="84">
        <v>0.28102058970121302</v>
      </c>
      <c r="Z15" s="80">
        <v>0.17475728155339806</v>
      </c>
      <c r="AA15" s="140">
        <v>0.21893579750981934</v>
      </c>
    </row>
    <row r="16" spans="1:27" ht="17" thickBot="1" x14ac:dyDescent="0.25">
      <c r="A16" s="73">
        <v>35</v>
      </c>
      <c r="B16" s="45" t="s">
        <v>43</v>
      </c>
      <c r="C16" s="295">
        <v>1451</v>
      </c>
      <c r="D16" s="288">
        <v>1421</v>
      </c>
      <c r="E16" s="52">
        <f t="shared" si="2"/>
        <v>-2.0675396278428671E-2</v>
      </c>
      <c r="F16" s="302">
        <v>1448</v>
      </c>
      <c r="G16" s="52">
        <f t="shared" si="3"/>
        <v>-1.8646408839779006E-2</v>
      </c>
      <c r="H16" s="303">
        <v>1374</v>
      </c>
      <c r="I16" s="52">
        <f t="shared" si="4"/>
        <v>3.4206695778748179E-2</v>
      </c>
      <c r="J16" s="294">
        <v>22194</v>
      </c>
      <c r="K16" s="295">
        <v>22451</v>
      </c>
      <c r="L16" s="54">
        <f t="shared" si="5"/>
        <v>-1.1447151574540109E-2</v>
      </c>
      <c r="M16" s="294">
        <v>20512</v>
      </c>
      <c r="N16" s="54">
        <f t="shared" si="6"/>
        <v>8.2000780031201245E-2</v>
      </c>
      <c r="O16" s="294">
        <v>19812</v>
      </c>
      <c r="P16" s="52">
        <f t="shared" si="7"/>
        <v>0.12023016353725015</v>
      </c>
      <c r="Q16" s="52">
        <f t="shared" si="8"/>
        <v>6.4026313418040909E-2</v>
      </c>
      <c r="R16" s="52">
        <f t="shared" si="9"/>
        <v>6.4629637878045515E-2</v>
      </c>
      <c r="S16" s="52">
        <f t="shared" si="10"/>
        <v>-6.0332446000460616E-4</v>
      </c>
      <c r="T16" s="52">
        <f t="shared" si="11"/>
        <v>7.0592823712948519E-2</v>
      </c>
      <c r="U16" s="52">
        <f t="shared" si="12"/>
        <v>-6.5665102949076098E-3</v>
      </c>
      <c r="V16" s="52">
        <f t="shared" si="0"/>
        <v>6.9351907934585094E-2</v>
      </c>
      <c r="W16" s="52">
        <f t="shared" si="1"/>
        <v>-5.3255945165441854E-3</v>
      </c>
      <c r="X16" s="84">
        <v>0.17708333333333334</v>
      </c>
      <c r="Y16" s="84">
        <v>0.1062172187715666</v>
      </c>
      <c r="Z16" s="80">
        <v>0.4463276836158192</v>
      </c>
      <c r="AA16" s="140">
        <v>0.48680190490976766</v>
      </c>
    </row>
    <row r="17" spans="1:27" ht="17" thickBot="1" x14ac:dyDescent="0.25">
      <c r="A17" s="73">
        <v>36</v>
      </c>
      <c r="B17" s="45" t="s">
        <v>44</v>
      </c>
      <c r="C17" s="295">
        <v>3221</v>
      </c>
      <c r="D17" s="288">
        <v>3099</v>
      </c>
      <c r="E17" s="52">
        <f t="shared" si="2"/>
        <v>-3.787643588947532E-2</v>
      </c>
      <c r="F17" s="302">
        <v>3398</v>
      </c>
      <c r="G17" s="52">
        <f t="shared" si="3"/>
        <v>-8.7992937021777518E-2</v>
      </c>
      <c r="H17" s="303">
        <v>3013</v>
      </c>
      <c r="I17" s="52">
        <f t="shared" si="4"/>
        <v>2.8542980418187851E-2</v>
      </c>
      <c r="J17" s="294">
        <v>75696</v>
      </c>
      <c r="K17" s="295">
        <v>75605</v>
      </c>
      <c r="L17" s="54">
        <f t="shared" si="5"/>
        <v>1.2036240989352555E-3</v>
      </c>
      <c r="M17" s="294">
        <v>70942</v>
      </c>
      <c r="N17" s="54">
        <f t="shared" si="6"/>
        <v>6.7012489075582868E-2</v>
      </c>
      <c r="O17" s="294">
        <v>72277</v>
      </c>
      <c r="P17" s="52">
        <f t="shared" si="7"/>
        <v>4.7304121643122983E-2</v>
      </c>
      <c r="Q17" s="52">
        <f t="shared" si="8"/>
        <v>4.094007609384908E-2</v>
      </c>
      <c r="R17" s="52">
        <f t="shared" si="9"/>
        <v>4.2603002446928114E-2</v>
      </c>
      <c r="S17" s="52">
        <f t="shared" si="10"/>
        <v>-1.6629263530790334E-3</v>
      </c>
      <c r="T17" s="52">
        <f t="shared" si="11"/>
        <v>4.7898283104507909E-2</v>
      </c>
      <c r="U17" s="52">
        <f t="shared" si="12"/>
        <v>-6.958207010658829E-3</v>
      </c>
      <c r="V17" s="52">
        <f t="shared" si="0"/>
        <v>4.168684367087732E-2</v>
      </c>
      <c r="W17" s="52">
        <f t="shared" si="1"/>
        <v>-7.4676757702824004E-4</v>
      </c>
      <c r="X17" s="84">
        <v>0.2074074074074074</v>
      </c>
      <c r="Y17" s="84">
        <v>0.17937400720670682</v>
      </c>
      <c r="Z17" s="80">
        <v>0.39047619047619048</v>
      </c>
      <c r="AA17" s="146">
        <v>0.32834767410704074</v>
      </c>
    </row>
    <row r="18" spans="1:27" ht="17" thickBot="1" x14ac:dyDescent="0.25">
      <c r="A18" s="73">
        <v>37</v>
      </c>
      <c r="B18" s="45" t="s">
        <v>45</v>
      </c>
      <c r="C18" s="295">
        <v>2051</v>
      </c>
      <c r="D18" s="288">
        <v>1897</v>
      </c>
      <c r="E18" s="52">
        <f t="shared" si="2"/>
        <v>-7.5085324232081918E-2</v>
      </c>
      <c r="F18" s="302">
        <v>2047</v>
      </c>
      <c r="G18" s="52">
        <f t="shared" si="3"/>
        <v>-7.3277967757694185E-2</v>
      </c>
      <c r="H18" s="303">
        <v>1898</v>
      </c>
      <c r="I18" s="52">
        <f t="shared" si="4"/>
        <v>-5.2687038988408848E-4</v>
      </c>
      <c r="J18" s="294">
        <v>16255</v>
      </c>
      <c r="K18" s="295">
        <v>16681</v>
      </c>
      <c r="L18" s="54">
        <f t="shared" si="5"/>
        <v>-2.5538037287932379E-2</v>
      </c>
      <c r="M18" s="294">
        <v>16320</v>
      </c>
      <c r="N18" s="54">
        <f t="shared" si="6"/>
        <v>-3.9828431372549017E-3</v>
      </c>
      <c r="O18" s="294">
        <v>16456</v>
      </c>
      <c r="P18" s="52">
        <f t="shared" si="7"/>
        <v>-1.221438988818668E-2</v>
      </c>
      <c r="Q18" s="52">
        <f t="shared" si="8"/>
        <v>0.11670255306059674</v>
      </c>
      <c r="R18" s="52">
        <f t="shared" si="9"/>
        <v>0.12295425933697021</v>
      </c>
      <c r="S18" s="52">
        <f t="shared" si="10"/>
        <v>-6.2517062763734754E-3</v>
      </c>
      <c r="T18" s="52">
        <f t="shared" si="11"/>
        <v>0.12542892156862745</v>
      </c>
      <c r="U18" s="52">
        <f t="shared" si="12"/>
        <v>-8.726368508030713E-3</v>
      </c>
      <c r="V18" s="52">
        <f t="shared" si="0"/>
        <v>0.11533787068546426</v>
      </c>
      <c r="W18" s="52">
        <f t="shared" si="1"/>
        <v>1.3646823751324727E-3</v>
      </c>
      <c r="X18" s="72">
        <v>0.21276595744680851</v>
      </c>
      <c r="Y18" s="72">
        <v>0.15355217865484935</v>
      </c>
      <c r="Z18" s="80">
        <v>0.44270833333333331</v>
      </c>
      <c r="AA18" s="140">
        <v>0.39022573745647088</v>
      </c>
    </row>
    <row r="19" spans="1:27" ht="17" thickBot="1" x14ac:dyDescent="0.25">
      <c r="A19" s="73">
        <v>38</v>
      </c>
      <c r="B19" s="45" t="s">
        <v>46</v>
      </c>
      <c r="C19" s="295">
        <v>2368</v>
      </c>
      <c r="D19" s="288">
        <v>2347</v>
      </c>
      <c r="E19" s="52">
        <f t="shared" si="2"/>
        <v>-8.8682432432432429E-3</v>
      </c>
      <c r="F19" s="302">
        <v>2790</v>
      </c>
      <c r="G19" s="52">
        <f t="shared" si="3"/>
        <v>-0.15878136200716847</v>
      </c>
      <c r="H19" s="303">
        <v>2233</v>
      </c>
      <c r="I19" s="52">
        <f t="shared" si="4"/>
        <v>5.1052395879982088E-2</v>
      </c>
      <c r="J19" s="294">
        <v>20676</v>
      </c>
      <c r="K19" s="295">
        <v>21094</v>
      </c>
      <c r="L19" s="54">
        <f t="shared" si="5"/>
        <v>-1.981606143927183E-2</v>
      </c>
      <c r="M19" s="294">
        <v>21293</v>
      </c>
      <c r="N19" s="54">
        <f t="shared" si="6"/>
        <v>-2.8976658995914149E-2</v>
      </c>
      <c r="O19" s="294">
        <v>23201</v>
      </c>
      <c r="P19" s="52">
        <f t="shared" si="7"/>
        <v>-0.10883151588293608</v>
      </c>
      <c r="Q19" s="52">
        <f t="shared" si="8"/>
        <v>0.11351325207970595</v>
      </c>
      <c r="R19" s="52">
        <f t="shared" si="9"/>
        <v>0.11225941025884138</v>
      </c>
      <c r="S19" s="52">
        <f t="shared" si="10"/>
        <v>1.2538418208645624E-3</v>
      </c>
      <c r="T19" s="52">
        <f t="shared" si="11"/>
        <v>0.1310289766589959</v>
      </c>
      <c r="U19" s="52">
        <f t="shared" si="12"/>
        <v>-1.751572457928996E-2</v>
      </c>
      <c r="V19" s="52">
        <f t="shared" si="0"/>
        <v>9.6245851471919316E-2</v>
      </c>
      <c r="W19" s="52">
        <f t="shared" si="1"/>
        <v>1.7267400607786629E-2</v>
      </c>
      <c r="X19" s="84">
        <v>0.13989637305699482</v>
      </c>
      <c r="Y19" s="84">
        <v>0.1444643897477535</v>
      </c>
      <c r="Z19" s="80">
        <v>0.33497536945812806</v>
      </c>
      <c r="AA19" s="140">
        <v>0.32329077122830652</v>
      </c>
    </row>
    <row r="20" spans="1:27" ht="17" thickBot="1" x14ac:dyDescent="0.25">
      <c r="A20" s="73">
        <v>39</v>
      </c>
      <c r="B20" s="45" t="s">
        <v>47</v>
      </c>
      <c r="C20" s="295">
        <v>5218</v>
      </c>
      <c r="D20" s="288">
        <v>5054</v>
      </c>
      <c r="E20" s="52">
        <f t="shared" si="2"/>
        <v>-3.1429666538903792E-2</v>
      </c>
      <c r="F20" s="302">
        <v>5313</v>
      </c>
      <c r="G20" s="52">
        <f t="shared" si="3"/>
        <v>-4.8748353096179184E-2</v>
      </c>
      <c r="H20" s="303">
        <v>4754</v>
      </c>
      <c r="I20" s="52">
        <f t="shared" si="4"/>
        <v>6.3104753891459822E-2</v>
      </c>
      <c r="J20" s="294">
        <v>51105</v>
      </c>
      <c r="K20" s="295">
        <v>51759</v>
      </c>
      <c r="L20" s="54">
        <f t="shared" si="5"/>
        <v>-1.2635483683996985E-2</v>
      </c>
      <c r="M20" s="294">
        <v>52760</v>
      </c>
      <c r="N20" s="54">
        <f t="shared" si="6"/>
        <v>-3.1368460955269142E-2</v>
      </c>
      <c r="O20" s="294">
        <v>58656</v>
      </c>
      <c r="P20" s="52">
        <f t="shared" si="7"/>
        <v>-0.12873363338788871</v>
      </c>
      <c r="Q20" s="52">
        <f t="shared" si="8"/>
        <v>9.88944330300362E-2</v>
      </c>
      <c r="R20" s="52">
        <f t="shared" si="9"/>
        <v>0.100813385111768</v>
      </c>
      <c r="S20" s="52">
        <f t="shared" si="10"/>
        <v>-1.9189520817318034E-3</v>
      </c>
      <c r="T20" s="52">
        <f t="shared" si="11"/>
        <v>0.10070128885519333</v>
      </c>
      <c r="U20" s="52">
        <f t="shared" si="12"/>
        <v>-1.8068558251571332E-3</v>
      </c>
      <c r="V20" s="52">
        <f t="shared" si="0"/>
        <v>8.1048827059465353E-2</v>
      </c>
      <c r="W20" s="52">
        <f t="shared" si="1"/>
        <v>1.7845605970570846E-2</v>
      </c>
      <c r="X20" s="84">
        <v>0.16819012797074953</v>
      </c>
      <c r="Y20" s="84">
        <v>0.16765996742120842</v>
      </c>
      <c r="Z20" s="80">
        <v>0.4826086956521739</v>
      </c>
      <c r="AA20" s="140">
        <v>0.46778730459766849</v>
      </c>
    </row>
    <row r="21" spans="1:27" ht="17" thickBot="1" x14ac:dyDescent="0.25">
      <c r="A21" s="73">
        <v>40</v>
      </c>
      <c r="B21" s="45" t="s">
        <v>48</v>
      </c>
      <c r="C21" s="295">
        <v>1010</v>
      </c>
      <c r="D21" s="288">
        <v>1025</v>
      </c>
      <c r="E21" s="52">
        <f t="shared" si="2"/>
        <v>1.4851485148514851E-2</v>
      </c>
      <c r="F21" s="302">
        <v>972</v>
      </c>
      <c r="G21" s="52">
        <f t="shared" si="3"/>
        <v>5.4526748971193417E-2</v>
      </c>
      <c r="H21" s="303">
        <v>881</v>
      </c>
      <c r="I21" s="52">
        <f t="shared" si="4"/>
        <v>0.16345062429057888</v>
      </c>
      <c r="J21" s="294">
        <v>7778</v>
      </c>
      <c r="K21" s="295">
        <v>7705</v>
      </c>
      <c r="L21" s="54">
        <f t="shared" si="5"/>
        <v>9.4743672939649574E-3</v>
      </c>
      <c r="M21" s="294">
        <v>7732</v>
      </c>
      <c r="N21" s="54">
        <f t="shared" si="6"/>
        <v>5.94930160372478E-3</v>
      </c>
      <c r="O21" s="294">
        <v>7559</v>
      </c>
      <c r="P21" s="52">
        <f t="shared" si="7"/>
        <v>2.8972086254795609E-2</v>
      </c>
      <c r="Q21" s="52">
        <f t="shared" si="8"/>
        <v>0.13178194908716895</v>
      </c>
      <c r="R21" s="52">
        <f t="shared" si="9"/>
        <v>0.13108371187540557</v>
      </c>
      <c r="S21" s="52">
        <f t="shared" si="10"/>
        <v>6.9823721176337505E-4</v>
      </c>
      <c r="T21" s="52">
        <f t="shared" si="11"/>
        <v>0.12571132953957578</v>
      </c>
      <c r="U21" s="52">
        <f t="shared" si="12"/>
        <v>6.0706195475931646E-3</v>
      </c>
      <c r="V21" s="52">
        <f t="shared" si="0"/>
        <v>0.11654980817568461</v>
      </c>
      <c r="W21" s="52">
        <f t="shared" si="1"/>
        <v>1.5232140911484338E-2</v>
      </c>
      <c r="X21" s="84">
        <v>0.2361111111111111</v>
      </c>
      <c r="Y21" s="84">
        <v>0.18216323466323464</v>
      </c>
      <c r="Z21" s="80">
        <v>0.31775700934579437</v>
      </c>
      <c r="AA21" s="140">
        <v>0.38792234173446671</v>
      </c>
    </row>
    <row r="22" spans="1:27" ht="17" thickBot="1" x14ac:dyDescent="0.25">
      <c r="A22" s="73">
        <v>41</v>
      </c>
      <c r="B22" s="45" t="s">
        <v>49</v>
      </c>
      <c r="C22" s="295">
        <v>2202</v>
      </c>
      <c r="D22" s="288">
        <v>2196</v>
      </c>
      <c r="E22" s="52">
        <f t="shared" si="2"/>
        <v>-2.7247956403269754E-3</v>
      </c>
      <c r="F22" s="302">
        <v>2269</v>
      </c>
      <c r="G22" s="52">
        <f t="shared" si="3"/>
        <v>-3.2172763331864258E-2</v>
      </c>
      <c r="H22" s="303">
        <v>1905</v>
      </c>
      <c r="I22" s="52">
        <f t="shared" si="4"/>
        <v>0.15275590551181104</v>
      </c>
      <c r="J22" s="304">
        <v>25107</v>
      </c>
      <c r="K22" s="295">
        <v>26040</v>
      </c>
      <c r="L22" s="54">
        <f t="shared" si="5"/>
        <v>-3.5829493087557604E-2</v>
      </c>
      <c r="M22" s="304">
        <v>24891</v>
      </c>
      <c r="N22" s="54">
        <f t="shared" si="6"/>
        <v>8.677835362179101E-3</v>
      </c>
      <c r="O22" s="304">
        <v>25655</v>
      </c>
      <c r="P22" s="52">
        <f t="shared" si="7"/>
        <v>-2.1360358604560516E-2</v>
      </c>
      <c r="Q22" s="52">
        <f t="shared" si="8"/>
        <v>8.7465647030708568E-2</v>
      </c>
      <c r="R22" s="52">
        <f t="shared" si="9"/>
        <v>8.4562211981566826E-2</v>
      </c>
      <c r="S22" s="52">
        <f t="shared" si="10"/>
        <v>2.9034350491417421E-3</v>
      </c>
      <c r="T22" s="52">
        <f t="shared" si="11"/>
        <v>9.115744646659435E-2</v>
      </c>
      <c r="U22" s="52">
        <f t="shared" si="12"/>
        <v>-3.6917994358857814E-3</v>
      </c>
      <c r="V22" s="52">
        <f t="shared" si="0"/>
        <v>7.425453128045216E-2</v>
      </c>
      <c r="W22" s="52">
        <f t="shared" si="1"/>
        <v>1.3211115750256408E-2</v>
      </c>
      <c r="X22" s="84">
        <v>0.28099173553719009</v>
      </c>
      <c r="Y22" s="84">
        <v>0.22770000000000001</v>
      </c>
      <c r="Z22" s="80">
        <v>0.48471615720524019</v>
      </c>
      <c r="AA22" s="140">
        <v>0.4803383632216004</v>
      </c>
    </row>
    <row r="23" spans="1:27" ht="17" thickBot="1" x14ac:dyDescent="0.25">
      <c r="A23" s="81">
        <v>42</v>
      </c>
      <c r="B23" s="45" t="s">
        <v>50</v>
      </c>
      <c r="C23" s="295">
        <v>1656</v>
      </c>
      <c r="D23" s="288">
        <v>1638</v>
      </c>
      <c r="E23" s="52">
        <f t="shared" si="2"/>
        <v>-1.0869565217391304E-2</v>
      </c>
      <c r="F23" s="302">
        <v>1536</v>
      </c>
      <c r="G23" s="52">
        <f t="shared" si="3"/>
        <v>6.640625E-2</v>
      </c>
      <c r="H23" s="303">
        <v>1456</v>
      </c>
      <c r="I23" s="52">
        <f t="shared" si="4"/>
        <v>0.125</v>
      </c>
      <c r="J23" s="294">
        <v>15200</v>
      </c>
      <c r="K23" s="295">
        <v>15494</v>
      </c>
      <c r="L23" s="54">
        <f t="shared" si="5"/>
        <v>-1.8975087130502132E-2</v>
      </c>
      <c r="M23" s="294">
        <v>14999</v>
      </c>
      <c r="N23" s="54">
        <f t="shared" si="6"/>
        <v>1.3400893392892859E-2</v>
      </c>
      <c r="O23" s="294">
        <v>15309</v>
      </c>
      <c r="P23" s="52">
        <f t="shared" si="7"/>
        <v>-7.1199947743157618E-3</v>
      </c>
      <c r="Q23" s="52">
        <f t="shared" si="8"/>
        <v>0.10776315789473684</v>
      </c>
      <c r="R23" s="52">
        <f t="shared" si="9"/>
        <v>0.10688008261262424</v>
      </c>
      <c r="S23" s="52">
        <f t="shared" si="10"/>
        <v>8.8307528211259423E-4</v>
      </c>
      <c r="T23" s="52">
        <f t="shared" si="11"/>
        <v>0.10240682712180812</v>
      </c>
      <c r="U23" s="52">
        <f t="shared" si="12"/>
        <v>5.3563307729287135E-3</v>
      </c>
      <c r="V23" s="52">
        <f t="shared" si="0"/>
        <v>9.5107453132144484E-2</v>
      </c>
      <c r="W23" s="52">
        <f t="shared" si="1"/>
        <v>1.2655704762592354E-2</v>
      </c>
      <c r="X23" s="95">
        <v>0.18285714285714286</v>
      </c>
      <c r="Y23" s="95">
        <v>0.15119329274289295</v>
      </c>
      <c r="Z23" s="96">
        <v>0.43089430894308944</v>
      </c>
      <c r="AA23" s="147">
        <v>0.50810468778438567</v>
      </c>
    </row>
    <row r="24" spans="1:27" ht="17" thickBot="1" x14ac:dyDescent="0.25">
      <c r="A24" s="73">
        <v>43</v>
      </c>
      <c r="B24" s="45" t="s">
        <v>51</v>
      </c>
      <c r="C24" s="295">
        <v>3876</v>
      </c>
      <c r="D24" s="288">
        <v>3886</v>
      </c>
      <c r="E24" s="52">
        <f t="shared" si="2"/>
        <v>2.5799793601651187E-3</v>
      </c>
      <c r="F24" s="302">
        <v>3824</v>
      </c>
      <c r="G24" s="52">
        <f t="shared" si="3"/>
        <v>1.6213389121338913E-2</v>
      </c>
      <c r="H24" s="303">
        <v>2869</v>
      </c>
      <c r="I24" s="52">
        <f t="shared" si="4"/>
        <v>0.35447891251307073</v>
      </c>
      <c r="J24" s="305">
        <v>32759</v>
      </c>
      <c r="K24" s="295">
        <v>33410</v>
      </c>
      <c r="L24" s="54">
        <f t="shared" si="5"/>
        <v>-1.9485184076623766E-2</v>
      </c>
      <c r="M24" s="305">
        <v>32961</v>
      </c>
      <c r="N24" s="54">
        <f t="shared" si="6"/>
        <v>-6.1284548405691579E-3</v>
      </c>
      <c r="O24" s="305">
        <v>33131</v>
      </c>
      <c r="P24" s="52">
        <f t="shared" si="7"/>
        <v>-1.1228154900244484E-2</v>
      </c>
      <c r="Q24" s="52">
        <f t="shared" si="8"/>
        <v>0.11862388961812022</v>
      </c>
      <c r="R24" s="52">
        <f t="shared" si="9"/>
        <v>0.11601316970966777</v>
      </c>
      <c r="S24" s="52">
        <f t="shared" si="10"/>
        <v>2.6107199084524496E-3</v>
      </c>
      <c r="T24" s="52">
        <f t="shared" si="11"/>
        <v>0.11601589757592307</v>
      </c>
      <c r="U24" s="52">
        <f t="shared" si="12"/>
        <v>2.607992042197152E-3</v>
      </c>
      <c r="V24" s="52">
        <f t="shared" si="0"/>
        <v>8.6595635507530716E-2</v>
      </c>
      <c r="W24" s="52">
        <f t="shared" si="1"/>
        <v>3.2028254110589502E-2</v>
      </c>
      <c r="X24" s="84">
        <v>0.24928366762177651</v>
      </c>
      <c r="Y24" s="84">
        <v>0.23659825961578623</v>
      </c>
      <c r="Z24" s="80">
        <v>0.30088495575221241</v>
      </c>
      <c r="AA24" s="140">
        <v>0.28485130927373836</v>
      </c>
    </row>
    <row r="25" spans="1:27" ht="17" thickBot="1" x14ac:dyDescent="0.25">
      <c r="A25" s="73">
        <v>44</v>
      </c>
      <c r="B25" s="45" t="s">
        <v>52</v>
      </c>
      <c r="C25" s="295">
        <v>2613</v>
      </c>
      <c r="D25" s="288">
        <v>2623</v>
      </c>
      <c r="E25" s="52">
        <f t="shared" si="2"/>
        <v>3.8270187523918868E-3</v>
      </c>
      <c r="F25" s="302">
        <v>2487</v>
      </c>
      <c r="G25" s="52">
        <f t="shared" si="3"/>
        <v>5.4684358665058302E-2</v>
      </c>
      <c r="H25" s="303">
        <v>2266</v>
      </c>
      <c r="I25" s="52">
        <f t="shared" si="4"/>
        <v>0.15754633715798763</v>
      </c>
      <c r="J25" s="294">
        <v>15817</v>
      </c>
      <c r="K25" s="295">
        <v>16256</v>
      </c>
      <c r="L25" s="54">
        <f t="shared" si="5"/>
        <v>-2.7005413385826772E-2</v>
      </c>
      <c r="M25" s="294">
        <v>16176</v>
      </c>
      <c r="N25" s="54">
        <f t="shared" si="6"/>
        <v>-2.2193372898120671E-2</v>
      </c>
      <c r="O25" s="294">
        <v>16332</v>
      </c>
      <c r="P25" s="52">
        <f t="shared" si="7"/>
        <v>-3.1533186382561841E-2</v>
      </c>
      <c r="Q25" s="52">
        <f t="shared" si="8"/>
        <v>0.16583422899412026</v>
      </c>
      <c r="R25" s="52">
        <f t="shared" si="9"/>
        <v>0.16074064960629922</v>
      </c>
      <c r="S25" s="52">
        <f t="shared" si="10"/>
        <v>5.09357938782104E-3</v>
      </c>
      <c r="T25" s="52">
        <f t="shared" si="11"/>
        <v>0.15374629080118693</v>
      </c>
      <c r="U25" s="52">
        <f t="shared" si="12"/>
        <v>1.2087938192933328E-2</v>
      </c>
      <c r="V25" s="52">
        <f t="shared" si="0"/>
        <v>0.13874602008327211</v>
      </c>
      <c r="W25" s="52">
        <f t="shared" si="1"/>
        <v>2.7088208910848149E-2</v>
      </c>
      <c r="X25" s="95">
        <v>0.1417004048582996</v>
      </c>
      <c r="Y25" s="95">
        <v>0.16698291739132037</v>
      </c>
      <c r="Z25" s="80">
        <v>0.35238095238095241</v>
      </c>
      <c r="AA25" s="140">
        <v>0.38839874972365562</v>
      </c>
    </row>
    <row r="26" spans="1:27" ht="17" thickBot="1" x14ac:dyDescent="0.25">
      <c r="A26" s="73">
        <v>45</v>
      </c>
      <c r="B26" s="45" t="s">
        <v>53</v>
      </c>
      <c r="C26" s="295">
        <v>1044</v>
      </c>
      <c r="D26" s="288">
        <v>1046</v>
      </c>
      <c r="E26" s="52">
        <f t="shared" si="2"/>
        <v>1.9157088122605363E-3</v>
      </c>
      <c r="F26" s="302">
        <v>995</v>
      </c>
      <c r="G26" s="52">
        <f t="shared" si="3"/>
        <v>5.1256281407035177E-2</v>
      </c>
      <c r="H26" s="303">
        <v>826</v>
      </c>
      <c r="I26" s="52">
        <f t="shared" si="4"/>
        <v>0.26634382566585957</v>
      </c>
      <c r="J26" s="294">
        <v>7133</v>
      </c>
      <c r="K26" s="295">
        <v>7391</v>
      </c>
      <c r="L26" s="54">
        <f t="shared" si="5"/>
        <v>-3.4907319713164658E-2</v>
      </c>
      <c r="M26" s="294">
        <v>7292</v>
      </c>
      <c r="N26" s="54">
        <f t="shared" si="6"/>
        <v>-2.1804717498628633E-2</v>
      </c>
      <c r="O26" s="294">
        <v>7028</v>
      </c>
      <c r="P26" s="52">
        <f t="shared" si="7"/>
        <v>1.4940239043824702E-2</v>
      </c>
      <c r="Q26" s="52">
        <f t="shared" si="8"/>
        <v>0.14664236646572271</v>
      </c>
      <c r="R26" s="52">
        <f t="shared" si="9"/>
        <v>0.14125287511838722</v>
      </c>
      <c r="S26" s="52">
        <f t="shared" si="10"/>
        <v>5.38949134733549E-3</v>
      </c>
      <c r="T26" s="52">
        <f t="shared" si="11"/>
        <v>0.13645090510148108</v>
      </c>
      <c r="U26" s="52">
        <f t="shared" si="12"/>
        <v>1.0191461364241622E-2</v>
      </c>
      <c r="V26" s="52">
        <f t="shared" si="0"/>
        <v>0.11752988047808766</v>
      </c>
      <c r="W26" s="52">
        <f t="shared" si="1"/>
        <v>2.9112485987635051E-2</v>
      </c>
      <c r="X26" s="84">
        <v>3.7037037037037035E-2</v>
      </c>
      <c r="Y26" s="84">
        <v>8.0982573541475616E-2</v>
      </c>
      <c r="Z26" s="80">
        <v>0.4563106796116505</v>
      </c>
      <c r="AA26" s="140">
        <v>0.34251168716091163</v>
      </c>
    </row>
    <row r="27" spans="1:27" ht="17" thickBot="1" x14ac:dyDescent="0.25">
      <c r="A27" s="73">
        <v>46</v>
      </c>
      <c r="B27" s="45" t="s">
        <v>10</v>
      </c>
      <c r="C27" s="306"/>
      <c r="D27" s="307"/>
      <c r="E27" s="52"/>
      <c r="F27" s="299"/>
      <c r="G27" s="52"/>
      <c r="H27" s="299"/>
      <c r="I27" s="52"/>
      <c r="J27" s="299"/>
      <c r="K27" s="298"/>
      <c r="L27" s="54"/>
      <c r="M27" s="299"/>
      <c r="N27" s="54"/>
      <c r="O27" s="299"/>
      <c r="P27" s="52"/>
      <c r="Q27" s="52"/>
      <c r="R27" s="52"/>
      <c r="S27" s="52"/>
      <c r="T27" s="52"/>
      <c r="U27" s="52"/>
      <c r="V27" s="52"/>
      <c r="W27" s="52"/>
      <c r="X27" s="84"/>
      <c r="Y27" s="84"/>
      <c r="Z27" s="80"/>
      <c r="AA27" s="141"/>
    </row>
    <row r="28" spans="1:27" ht="18" thickBot="1" x14ac:dyDescent="0.25">
      <c r="A28" s="81">
        <v>47</v>
      </c>
      <c r="B28" s="45" t="s">
        <v>54</v>
      </c>
      <c r="C28" s="295">
        <v>196</v>
      </c>
      <c r="D28" s="288">
        <v>194</v>
      </c>
      <c r="E28" s="52">
        <f>(D28-C28)/C28</f>
        <v>-1.020408163265306E-2</v>
      </c>
      <c r="F28" s="302">
        <v>122</v>
      </c>
      <c r="G28" s="52">
        <f>(D28-F28)/F28</f>
        <v>0.5901639344262295</v>
      </c>
      <c r="H28" s="302">
        <v>11</v>
      </c>
      <c r="I28" s="54" t="s">
        <v>85</v>
      </c>
      <c r="J28" s="294">
        <v>3143</v>
      </c>
      <c r="K28" s="295">
        <v>2798</v>
      </c>
      <c r="L28" s="54">
        <f>(J28-K28)/K28</f>
        <v>0.12330235882773409</v>
      </c>
      <c r="M28" s="294">
        <v>2029</v>
      </c>
      <c r="N28" s="54">
        <f>(J28-M28)/M28</f>
        <v>0.54903893543617543</v>
      </c>
      <c r="O28" s="294">
        <v>2244</v>
      </c>
      <c r="P28" s="52">
        <f>(J28-O28)/O28</f>
        <v>0.40062388591800357</v>
      </c>
      <c r="Q28" s="52">
        <f>(D28/J28)</f>
        <v>6.172446706967865E-2</v>
      </c>
      <c r="R28" s="52">
        <f>(C28/K28)</f>
        <v>7.0050035739814151E-2</v>
      </c>
      <c r="S28" s="52">
        <f>(Q28-R28)</f>
        <v>-8.3255686701355011E-3</v>
      </c>
      <c r="T28" s="52">
        <f>(F28/M28)</f>
        <v>6.0128141941843273E-2</v>
      </c>
      <c r="U28" s="52">
        <f>(Q28-T28)</f>
        <v>1.5963251278353768E-3</v>
      </c>
      <c r="V28" s="52"/>
      <c r="W28" s="52"/>
      <c r="X28" s="100"/>
      <c r="Y28" s="100"/>
      <c r="Z28" s="92"/>
      <c r="AA28" s="142"/>
    </row>
    <row r="29" spans="1:27" ht="17" thickBot="1" x14ac:dyDescent="0.25">
      <c r="A29" s="81">
        <v>48</v>
      </c>
      <c r="B29" s="59" t="s">
        <v>55</v>
      </c>
      <c r="C29" s="291">
        <v>1088</v>
      </c>
      <c r="D29" s="292">
        <v>1069</v>
      </c>
      <c r="E29" s="56">
        <f>(D29-C29)/C29</f>
        <v>-1.7463235294117647E-2</v>
      </c>
      <c r="F29" s="308">
        <v>802</v>
      </c>
      <c r="G29" s="56">
        <f>(D29-F29)/F29</f>
        <v>0.33291770573566087</v>
      </c>
      <c r="H29" s="309">
        <v>327</v>
      </c>
      <c r="I29" s="56">
        <f>(D29-H29)/H29</f>
        <v>2.2691131498470947</v>
      </c>
      <c r="J29" s="294">
        <v>5175</v>
      </c>
      <c r="K29" s="291">
        <v>5209</v>
      </c>
      <c r="L29" s="57">
        <f>(J29-K29)/K29</f>
        <v>-6.5271645229410639E-3</v>
      </c>
      <c r="M29" s="294">
        <v>4824</v>
      </c>
      <c r="N29" s="57">
        <f>(J29-M29)/M29</f>
        <v>7.2761194029850748E-2</v>
      </c>
      <c r="O29" s="294">
        <v>4199</v>
      </c>
      <c r="P29" s="56">
        <f>(J29-O29)/O29</f>
        <v>0.23243629435579899</v>
      </c>
      <c r="Q29" s="56">
        <f>(D29/J29)</f>
        <v>0.20657004830917874</v>
      </c>
      <c r="R29" s="56">
        <f>(C29/K29)</f>
        <v>0.20886926473411405</v>
      </c>
      <c r="S29" s="56">
        <f>(Q29-R29)</f>
        <v>-2.299216424935302E-3</v>
      </c>
      <c r="T29" s="56">
        <f>(F29/M29)</f>
        <v>0.16625207296849087</v>
      </c>
      <c r="U29" s="56">
        <f>(Q29-T29)</f>
        <v>4.0317975340687873E-2</v>
      </c>
      <c r="V29" s="56">
        <f t="shared" si="0"/>
        <v>7.7875684686830204E-2</v>
      </c>
      <c r="W29" s="56">
        <f t="shared" si="1"/>
        <v>0.12869436362234854</v>
      </c>
      <c r="X29" s="102"/>
      <c r="Y29" s="102"/>
      <c r="Z29" s="65">
        <v>0.49504950495049505</v>
      </c>
      <c r="AA29" s="143">
        <v>0.48419281007720533</v>
      </c>
    </row>
    <row r="30" spans="1:27" ht="16" x14ac:dyDescent="0.2">
      <c r="A30" s="73">
        <v>49</v>
      </c>
      <c r="B30" s="45" t="s">
        <v>13</v>
      </c>
      <c r="C30" s="310"/>
      <c r="D30" s="311"/>
      <c r="E30" s="52"/>
      <c r="F30" s="299"/>
      <c r="G30" s="56"/>
      <c r="H30" s="299"/>
      <c r="I30" s="52"/>
      <c r="J30" s="299"/>
      <c r="K30" s="298"/>
      <c r="L30" s="54"/>
      <c r="M30" s="299"/>
      <c r="N30" s="54"/>
      <c r="O30" s="299"/>
      <c r="P30" s="52"/>
      <c r="Q30" s="52"/>
      <c r="R30" s="52"/>
      <c r="S30" s="52"/>
      <c r="T30" s="52"/>
      <c r="U30" s="52"/>
      <c r="V30" s="52"/>
      <c r="W30" s="52"/>
      <c r="X30" s="84"/>
      <c r="Y30" s="84"/>
      <c r="Z30" s="80"/>
      <c r="AA30" s="141"/>
    </row>
    <row r="31" spans="1:27" ht="16" x14ac:dyDescent="0.2">
      <c r="A31" s="73">
        <v>50</v>
      </c>
      <c r="B31" s="45" t="s">
        <v>56</v>
      </c>
      <c r="C31" s="295">
        <v>0</v>
      </c>
      <c r="D31" s="288">
        <v>0</v>
      </c>
      <c r="E31" s="52" t="e">
        <f>(D31-C31)/C31</f>
        <v>#DIV/0!</v>
      </c>
      <c r="F31" s="302">
        <v>33</v>
      </c>
      <c r="G31" s="56">
        <f>(D31-F31)/F31</f>
        <v>-1</v>
      </c>
      <c r="H31" s="303">
        <v>14</v>
      </c>
      <c r="I31" s="52">
        <f>(D31-H31)/H31</f>
        <v>-1</v>
      </c>
      <c r="J31" s="288">
        <v>444</v>
      </c>
      <c r="K31" s="295">
        <v>467</v>
      </c>
      <c r="L31" s="54">
        <f>(J31-K31)/K31</f>
        <v>-4.9250535331905779E-2</v>
      </c>
      <c r="M31" s="302">
        <v>564</v>
      </c>
      <c r="N31" s="54">
        <f>(J31-M31)/M31</f>
        <v>-0.21276595744680851</v>
      </c>
      <c r="O31" s="303">
        <v>716</v>
      </c>
      <c r="P31" s="52">
        <f>(J31-O31)/O31</f>
        <v>-0.37988826815642457</v>
      </c>
      <c r="Q31" s="52">
        <f>(D31/J31)</f>
        <v>0</v>
      </c>
      <c r="R31" s="52">
        <f>(C31/K31)</f>
        <v>0</v>
      </c>
      <c r="S31" s="52">
        <f>(Q31-R31)</f>
        <v>0</v>
      </c>
      <c r="T31" s="52">
        <f>(F31/M31)</f>
        <v>5.8510638297872342E-2</v>
      </c>
      <c r="U31" s="52">
        <f>(Q31-T31)</f>
        <v>-5.8510638297872342E-2</v>
      </c>
      <c r="V31" s="52">
        <f t="shared" si="0"/>
        <v>1.9553072625698324E-2</v>
      </c>
      <c r="W31" s="52">
        <f t="shared" si="1"/>
        <v>-1.9553072625698324E-2</v>
      </c>
      <c r="X31" s="100"/>
      <c r="Y31" s="54"/>
      <c r="Z31" s="92"/>
      <c r="AA31" s="142"/>
    </row>
    <row r="32" spans="1:27" ht="17" thickBot="1" x14ac:dyDescent="0.25">
      <c r="A32" s="73">
        <v>51</v>
      </c>
      <c r="B32" s="45" t="s">
        <v>5</v>
      </c>
      <c r="C32" s="306"/>
      <c r="D32" s="307"/>
      <c r="E32" s="52"/>
      <c r="F32" s="299"/>
      <c r="G32" s="52"/>
      <c r="H32" s="299"/>
      <c r="I32" s="52"/>
      <c r="J32" s="299"/>
      <c r="K32" s="298"/>
      <c r="L32" s="54"/>
      <c r="M32" s="299"/>
      <c r="N32" s="54"/>
      <c r="O32" s="299"/>
      <c r="P32" s="52"/>
      <c r="Q32" s="52"/>
      <c r="R32" s="52"/>
      <c r="S32" s="52"/>
      <c r="T32" s="52"/>
      <c r="U32" s="52"/>
      <c r="V32" s="52"/>
      <c r="W32" s="52"/>
      <c r="X32" s="84"/>
      <c r="Y32" s="84"/>
      <c r="Z32" s="80"/>
      <c r="AA32" s="141"/>
    </row>
    <row r="33" spans="1:27" ht="17" thickBot="1" x14ac:dyDescent="0.25">
      <c r="A33" s="73">
        <v>52</v>
      </c>
      <c r="B33" s="45" t="s">
        <v>57</v>
      </c>
      <c r="C33" s="295">
        <v>224</v>
      </c>
      <c r="D33" s="288">
        <v>210</v>
      </c>
      <c r="E33" s="52">
        <f t="shared" ref="E33:E50" si="13">(D33-C33)/C33</f>
        <v>-6.25E-2</v>
      </c>
      <c r="F33" s="302">
        <v>196</v>
      </c>
      <c r="G33" s="52">
        <f>(D33-F33)/F33</f>
        <v>7.1428571428571425E-2</v>
      </c>
      <c r="H33" s="303">
        <v>165</v>
      </c>
      <c r="I33" s="52">
        <f>(D33-H33)/H33</f>
        <v>0.27272727272727271</v>
      </c>
      <c r="J33" s="294">
        <v>1832</v>
      </c>
      <c r="K33" s="295">
        <v>1941</v>
      </c>
      <c r="L33" s="54">
        <f t="shared" ref="L33:L50" si="14">(J33-K33)/K33</f>
        <v>-5.6156620298815046E-2</v>
      </c>
      <c r="M33" s="294">
        <v>2072</v>
      </c>
      <c r="N33" s="54">
        <f t="shared" ref="N33:N50" si="15">(J33-M33)/M33</f>
        <v>-0.11583011583011583</v>
      </c>
      <c r="O33" s="294">
        <v>2328</v>
      </c>
      <c r="P33" s="52">
        <f t="shared" ref="P33:P50" si="16">(J33-O33)/O33</f>
        <v>-0.21305841924398625</v>
      </c>
      <c r="Q33" s="52">
        <f t="shared" ref="Q33:Q50" si="17">(D33/J33)</f>
        <v>0.11462882096069869</v>
      </c>
      <c r="R33" s="52">
        <f t="shared" ref="R33:R50" si="18">(C33/K33)</f>
        <v>0.11540443070582174</v>
      </c>
      <c r="S33" s="52">
        <f t="shared" ref="S33:S50" si="19">(Q33-R33)</f>
        <v>-7.7560974512304315E-4</v>
      </c>
      <c r="T33" s="52">
        <f>(F33/M33)</f>
        <v>9.45945945945946E-2</v>
      </c>
      <c r="U33" s="52">
        <f>(Q33-T33)</f>
        <v>2.0034226366104094E-2</v>
      </c>
      <c r="V33" s="52">
        <f t="shared" si="0"/>
        <v>7.0876288659793812E-2</v>
      </c>
      <c r="W33" s="52">
        <f t="shared" si="1"/>
        <v>4.3752532300904881E-2</v>
      </c>
      <c r="X33" s="84">
        <v>0.33333333333333331</v>
      </c>
      <c r="Y33" s="84">
        <v>0.20194805194805193</v>
      </c>
      <c r="Z33" s="79">
        <v>0.4</v>
      </c>
      <c r="AA33" s="142">
        <v>0.33846153846153842</v>
      </c>
    </row>
    <row r="34" spans="1:27" ht="18" thickBot="1" x14ac:dyDescent="0.25">
      <c r="A34" s="73">
        <v>53</v>
      </c>
      <c r="B34" s="45" t="s">
        <v>6</v>
      </c>
      <c r="C34" s="295">
        <v>18</v>
      </c>
      <c r="D34" s="288">
        <v>16</v>
      </c>
      <c r="E34" s="52">
        <f t="shared" si="13"/>
        <v>-0.1111111111111111</v>
      </c>
      <c r="F34" s="312" t="s">
        <v>110</v>
      </c>
      <c r="G34" s="52"/>
      <c r="H34" s="312" t="s">
        <v>110</v>
      </c>
      <c r="I34" s="52"/>
      <c r="J34" s="288">
        <v>2358</v>
      </c>
      <c r="K34" s="295">
        <v>2417</v>
      </c>
      <c r="L34" s="54">
        <f t="shared" si="14"/>
        <v>-2.44104261481175E-2</v>
      </c>
      <c r="M34" s="312">
        <v>2443</v>
      </c>
      <c r="N34" s="54">
        <f t="shared" si="15"/>
        <v>-3.4793286942284077E-2</v>
      </c>
      <c r="O34" s="312">
        <v>2883</v>
      </c>
      <c r="P34" s="52">
        <f t="shared" si="16"/>
        <v>-0.18210197710718001</v>
      </c>
      <c r="Q34" s="52">
        <f t="shared" si="17"/>
        <v>6.7854113655640372E-3</v>
      </c>
      <c r="R34" s="52">
        <f t="shared" si="18"/>
        <v>7.4472486553578817E-3</v>
      </c>
      <c r="S34" s="52">
        <f t="shared" si="19"/>
        <v>-6.6183728979384449E-4</v>
      </c>
      <c r="T34" s="52"/>
      <c r="U34" s="52"/>
      <c r="V34" s="52"/>
      <c r="W34" s="52"/>
      <c r="X34" s="84"/>
      <c r="Y34" s="84"/>
      <c r="Z34" s="80"/>
      <c r="AA34" s="141"/>
    </row>
    <row r="35" spans="1:27" ht="17" thickBot="1" x14ac:dyDescent="0.25">
      <c r="A35" s="73">
        <v>54</v>
      </c>
      <c r="B35" s="45" t="s">
        <v>58</v>
      </c>
      <c r="C35" s="295">
        <v>174</v>
      </c>
      <c r="D35" s="288">
        <v>192</v>
      </c>
      <c r="E35" s="52">
        <f t="shared" si="13"/>
        <v>0.10344827586206896</v>
      </c>
      <c r="F35" s="302">
        <v>198</v>
      </c>
      <c r="G35" s="52">
        <f t="shared" ref="G35:G50" si="20">(D35-F35)/F35</f>
        <v>-3.0303030303030304E-2</v>
      </c>
      <c r="H35" s="303">
        <v>149</v>
      </c>
      <c r="I35" s="52">
        <f t="shared" ref="I35:I50" si="21">(D35-H35)/H35</f>
        <v>0.28859060402684567</v>
      </c>
      <c r="J35" s="294">
        <v>1955</v>
      </c>
      <c r="K35" s="295">
        <v>1950</v>
      </c>
      <c r="L35" s="54">
        <f t="shared" si="14"/>
        <v>2.5641025641025641E-3</v>
      </c>
      <c r="M35" s="294">
        <v>2066</v>
      </c>
      <c r="N35" s="54">
        <f t="shared" si="15"/>
        <v>-5.3727008712487902E-2</v>
      </c>
      <c r="O35" s="294">
        <v>2371</v>
      </c>
      <c r="P35" s="52">
        <f t="shared" si="16"/>
        <v>-0.17545339519190215</v>
      </c>
      <c r="Q35" s="52">
        <f t="shared" si="17"/>
        <v>9.8209718670076732E-2</v>
      </c>
      <c r="R35" s="52">
        <f t="shared" si="18"/>
        <v>8.9230769230769225E-2</v>
      </c>
      <c r="S35" s="52">
        <f t="shared" si="19"/>
        <v>8.978949439307507E-3</v>
      </c>
      <c r="T35" s="52">
        <f t="shared" ref="T35:T50" si="22">(F35/M35)</f>
        <v>9.5837366892545989E-2</v>
      </c>
      <c r="U35" s="52">
        <f t="shared" ref="U35:U50" si="23">(Q35-T35)</f>
        <v>2.3723517775307429E-3</v>
      </c>
      <c r="V35" s="52">
        <f t="shared" si="0"/>
        <v>6.2842682412484183E-2</v>
      </c>
      <c r="W35" s="52">
        <f t="shared" si="1"/>
        <v>3.5367036257592549E-2</v>
      </c>
      <c r="X35" s="84">
        <v>0.32142857142857145</v>
      </c>
      <c r="Y35" s="84">
        <v>0.18878459503459505</v>
      </c>
      <c r="Z35" s="92"/>
      <c r="AA35" s="142"/>
    </row>
    <row r="36" spans="1:27" ht="17" thickBot="1" x14ac:dyDescent="0.25">
      <c r="A36" s="73">
        <v>57</v>
      </c>
      <c r="B36" s="45" t="s">
        <v>59</v>
      </c>
      <c r="C36" s="295">
        <v>1180</v>
      </c>
      <c r="D36" s="288">
        <v>1179</v>
      </c>
      <c r="E36" s="52">
        <f t="shared" si="13"/>
        <v>-8.4745762711864404E-4</v>
      </c>
      <c r="F36" s="302">
        <v>1044</v>
      </c>
      <c r="G36" s="52">
        <f t="shared" si="20"/>
        <v>0.12931034482758622</v>
      </c>
      <c r="H36" s="303">
        <v>756</v>
      </c>
      <c r="I36" s="52">
        <f t="shared" si="21"/>
        <v>0.55952380952380953</v>
      </c>
      <c r="J36" s="294">
        <v>12978</v>
      </c>
      <c r="K36" s="295">
        <v>13300</v>
      </c>
      <c r="L36" s="54">
        <f t="shared" si="14"/>
        <v>-2.4210526315789474E-2</v>
      </c>
      <c r="M36" s="294">
        <v>12988</v>
      </c>
      <c r="N36" s="54">
        <f t="shared" si="15"/>
        <v>-7.6994148444718203E-4</v>
      </c>
      <c r="O36" s="294">
        <v>14127</v>
      </c>
      <c r="P36" s="52">
        <f t="shared" si="16"/>
        <v>-8.1333616479082604E-2</v>
      </c>
      <c r="Q36" s="52">
        <f t="shared" si="17"/>
        <v>9.084604715672677E-2</v>
      </c>
      <c r="R36" s="52">
        <f t="shared" si="18"/>
        <v>8.8721804511278202E-2</v>
      </c>
      <c r="S36" s="52">
        <f t="shared" si="19"/>
        <v>2.124242645448568E-3</v>
      </c>
      <c r="T36" s="52">
        <f t="shared" si="22"/>
        <v>8.03818909762858E-2</v>
      </c>
      <c r="U36" s="52">
        <f t="shared" si="23"/>
        <v>1.046415618044097E-2</v>
      </c>
      <c r="V36" s="52">
        <f t="shared" si="0"/>
        <v>5.3514546612868974E-2</v>
      </c>
      <c r="W36" s="52">
        <f t="shared" si="1"/>
        <v>3.7331500543857796E-2</v>
      </c>
      <c r="X36" s="84">
        <v>0.15384615384615385</v>
      </c>
      <c r="Y36" s="84">
        <v>0.17442189860844157</v>
      </c>
      <c r="Z36" s="80">
        <v>0.21917808219178081</v>
      </c>
      <c r="AA36" s="140">
        <v>0.23138512629652394</v>
      </c>
    </row>
    <row r="37" spans="1:27" ht="17" thickBot="1" x14ac:dyDescent="0.25">
      <c r="A37" s="73">
        <v>58</v>
      </c>
      <c r="B37" s="45" t="s">
        <v>60</v>
      </c>
      <c r="C37" s="295">
        <v>193</v>
      </c>
      <c r="D37" s="288">
        <v>199</v>
      </c>
      <c r="E37" s="52">
        <f t="shared" si="13"/>
        <v>3.1088082901554404E-2</v>
      </c>
      <c r="F37" s="302">
        <v>175</v>
      </c>
      <c r="G37" s="52">
        <f t="shared" si="20"/>
        <v>0.13714285714285715</v>
      </c>
      <c r="H37" s="303">
        <v>165</v>
      </c>
      <c r="I37" s="52">
        <f t="shared" si="21"/>
        <v>0.20606060606060606</v>
      </c>
      <c r="J37" s="294">
        <v>2222</v>
      </c>
      <c r="K37" s="295">
        <v>2285</v>
      </c>
      <c r="L37" s="54">
        <f t="shared" si="14"/>
        <v>-2.7571115973741796E-2</v>
      </c>
      <c r="M37" s="294">
        <v>2263</v>
      </c>
      <c r="N37" s="54">
        <f t="shared" si="15"/>
        <v>-1.8117543084401236E-2</v>
      </c>
      <c r="O37" s="294">
        <v>2649</v>
      </c>
      <c r="P37" s="52">
        <f t="shared" si="16"/>
        <v>-0.16119290298225747</v>
      </c>
      <c r="Q37" s="52">
        <f t="shared" si="17"/>
        <v>8.9558955895589556E-2</v>
      </c>
      <c r="R37" s="52">
        <f t="shared" si="18"/>
        <v>8.4463894967177239E-2</v>
      </c>
      <c r="S37" s="52">
        <f t="shared" si="19"/>
        <v>5.0950609284123177E-3</v>
      </c>
      <c r="T37" s="52">
        <f t="shared" si="22"/>
        <v>7.7330976579761374E-2</v>
      </c>
      <c r="U37" s="52">
        <f t="shared" si="23"/>
        <v>1.2227979315828183E-2</v>
      </c>
      <c r="V37" s="52">
        <f t="shared" si="0"/>
        <v>6.2287655719139301E-2</v>
      </c>
      <c r="W37" s="52">
        <f t="shared" si="1"/>
        <v>2.7271300176450256E-2</v>
      </c>
      <c r="X37" s="84">
        <v>0.1</v>
      </c>
      <c r="Y37" s="84">
        <v>0.10179487179487179</v>
      </c>
      <c r="Z37" s="80">
        <v>0.4</v>
      </c>
      <c r="AA37" s="142">
        <v>0.79999999999999993</v>
      </c>
    </row>
    <row r="38" spans="1:27" ht="17" thickBot="1" x14ac:dyDescent="0.25">
      <c r="A38" s="73">
        <v>59</v>
      </c>
      <c r="B38" s="45" t="s">
        <v>61</v>
      </c>
      <c r="C38" s="295">
        <v>292</v>
      </c>
      <c r="D38" s="288">
        <v>269</v>
      </c>
      <c r="E38" s="52">
        <f t="shared" si="13"/>
        <v>-7.8767123287671229E-2</v>
      </c>
      <c r="F38" s="302">
        <v>388</v>
      </c>
      <c r="G38" s="52">
        <f t="shared" si="20"/>
        <v>-0.30670103092783507</v>
      </c>
      <c r="H38" s="303">
        <v>367</v>
      </c>
      <c r="I38" s="52">
        <f t="shared" si="21"/>
        <v>-0.2670299727520436</v>
      </c>
      <c r="J38" s="294">
        <v>3562</v>
      </c>
      <c r="K38" s="295">
        <v>3648</v>
      </c>
      <c r="L38" s="54">
        <f t="shared" si="14"/>
        <v>-2.3574561403508772E-2</v>
      </c>
      <c r="M38" s="294">
        <v>3444</v>
      </c>
      <c r="N38" s="54">
        <f t="shared" si="15"/>
        <v>3.426248548199768E-2</v>
      </c>
      <c r="O38" s="294">
        <v>4063</v>
      </c>
      <c r="P38" s="52">
        <f t="shared" si="16"/>
        <v>-0.12330790056608418</v>
      </c>
      <c r="Q38" s="52">
        <f t="shared" si="17"/>
        <v>7.5519371139809097E-2</v>
      </c>
      <c r="R38" s="52">
        <f t="shared" si="18"/>
        <v>8.0043859649122806E-2</v>
      </c>
      <c r="S38" s="52">
        <f t="shared" si="19"/>
        <v>-4.5244885093137094E-3</v>
      </c>
      <c r="T38" s="52">
        <f t="shared" si="22"/>
        <v>0.11265969802555169</v>
      </c>
      <c r="U38" s="52">
        <f t="shared" si="23"/>
        <v>-3.7140326885742592E-2</v>
      </c>
      <c r="V38" s="52">
        <f t="shared" si="0"/>
        <v>9.0327344326852077E-2</v>
      </c>
      <c r="W38" s="52">
        <f t="shared" si="1"/>
        <v>-1.480797318704298E-2</v>
      </c>
      <c r="X38" s="84">
        <v>0.45652173913043476</v>
      </c>
      <c r="Y38" s="84">
        <v>0.49153940886699504</v>
      </c>
      <c r="Z38" s="80">
        <v>0.63636363636363635</v>
      </c>
      <c r="AA38" s="140">
        <v>0.43910549220894052</v>
      </c>
    </row>
    <row r="39" spans="1:27" ht="17" thickBot="1" x14ac:dyDescent="0.25">
      <c r="A39" s="73">
        <v>60</v>
      </c>
      <c r="B39" s="45" t="s">
        <v>62</v>
      </c>
      <c r="C39" s="295">
        <v>405</v>
      </c>
      <c r="D39" s="288">
        <v>373</v>
      </c>
      <c r="E39" s="52">
        <f t="shared" si="13"/>
        <v>-7.9012345679012344E-2</v>
      </c>
      <c r="F39" s="302">
        <v>361</v>
      </c>
      <c r="G39" s="52">
        <f t="shared" si="20"/>
        <v>3.3240997229916899E-2</v>
      </c>
      <c r="H39" s="303">
        <v>365</v>
      </c>
      <c r="I39" s="52">
        <f t="shared" si="21"/>
        <v>2.1917808219178082E-2</v>
      </c>
      <c r="J39" s="294">
        <v>6284</v>
      </c>
      <c r="K39" s="295">
        <v>6483</v>
      </c>
      <c r="L39" s="54">
        <f t="shared" si="14"/>
        <v>-3.0695665586919635E-2</v>
      </c>
      <c r="M39" s="294">
        <v>6265</v>
      </c>
      <c r="N39" s="54">
        <f t="shared" si="15"/>
        <v>3.0327214684756584E-3</v>
      </c>
      <c r="O39" s="294">
        <v>5873</v>
      </c>
      <c r="P39" s="52">
        <f t="shared" si="16"/>
        <v>6.9981270219649241E-2</v>
      </c>
      <c r="Q39" s="52">
        <f t="shared" si="17"/>
        <v>5.9357097390197323E-2</v>
      </c>
      <c r="R39" s="52">
        <f t="shared" si="18"/>
        <v>6.2471078204534937E-2</v>
      </c>
      <c r="S39" s="52">
        <f t="shared" si="19"/>
        <v>-3.1139808143376135E-3</v>
      </c>
      <c r="T39" s="52">
        <f t="shared" si="22"/>
        <v>5.762170790103751E-2</v>
      </c>
      <c r="U39" s="52">
        <f t="shared" si="23"/>
        <v>1.7353894891598137E-3</v>
      </c>
      <c r="V39" s="52">
        <f t="shared" si="0"/>
        <v>6.2148816618423294E-2</v>
      </c>
      <c r="W39" s="52">
        <f t="shared" si="1"/>
        <v>-2.7917192282259709E-3</v>
      </c>
      <c r="X39" s="84">
        <v>0.23809523809523808</v>
      </c>
      <c r="Y39" s="84">
        <v>0.20028244631185807</v>
      </c>
      <c r="Z39" s="80">
        <v>0.40909090909090912</v>
      </c>
      <c r="AA39" s="140">
        <v>0.35467980295566504</v>
      </c>
    </row>
    <row r="40" spans="1:27" ht="17" thickBot="1" x14ac:dyDescent="0.25">
      <c r="A40" s="73">
        <v>61</v>
      </c>
      <c r="B40" s="45" t="s">
        <v>63</v>
      </c>
      <c r="C40" s="295">
        <v>3907</v>
      </c>
      <c r="D40" s="288">
        <v>3854</v>
      </c>
      <c r="E40" s="52">
        <f t="shared" si="13"/>
        <v>-1.3565395444074738E-2</v>
      </c>
      <c r="F40" s="302">
        <v>3804</v>
      </c>
      <c r="G40" s="52">
        <f t="shared" si="20"/>
        <v>1.3144058885383806E-2</v>
      </c>
      <c r="H40" s="303">
        <v>3140</v>
      </c>
      <c r="I40" s="52">
        <f t="shared" si="21"/>
        <v>0.22738853503184714</v>
      </c>
      <c r="J40" s="294">
        <v>19429</v>
      </c>
      <c r="K40" s="295">
        <v>20510</v>
      </c>
      <c r="L40" s="54">
        <f t="shared" si="14"/>
        <v>-5.2705997074597756E-2</v>
      </c>
      <c r="M40" s="294">
        <v>19715</v>
      </c>
      <c r="N40" s="54">
        <f t="shared" si="15"/>
        <v>-1.4506720770986558E-2</v>
      </c>
      <c r="O40" s="294">
        <v>20277</v>
      </c>
      <c r="P40" s="52">
        <f t="shared" si="16"/>
        <v>-4.1820782166987223E-2</v>
      </c>
      <c r="Q40" s="52">
        <f t="shared" si="17"/>
        <v>0.19836327139842502</v>
      </c>
      <c r="R40" s="52">
        <f t="shared" si="18"/>
        <v>0.19049244271087273</v>
      </c>
      <c r="S40" s="52">
        <f t="shared" si="19"/>
        <v>7.8708286875522893E-3</v>
      </c>
      <c r="T40" s="52">
        <f t="shared" si="22"/>
        <v>0.19294953081410093</v>
      </c>
      <c r="U40" s="52">
        <f t="shared" si="23"/>
        <v>5.4137405843240893E-3</v>
      </c>
      <c r="V40" s="52">
        <f t="shared" si="0"/>
        <v>0.15485525472209893</v>
      </c>
      <c r="W40" s="52">
        <f t="shared" si="1"/>
        <v>4.3508016676326089E-2</v>
      </c>
      <c r="X40" s="84">
        <v>0.14792899408284024</v>
      </c>
      <c r="Y40" s="54">
        <v>0.18977635734412079</v>
      </c>
      <c r="Z40" s="80">
        <v>0.42073170731707316</v>
      </c>
      <c r="AA40" s="140">
        <v>0.3922425158544765</v>
      </c>
    </row>
    <row r="41" spans="1:27" ht="17" thickBot="1" x14ac:dyDescent="0.25">
      <c r="A41" s="73">
        <v>62</v>
      </c>
      <c r="B41" s="45" t="s">
        <v>64</v>
      </c>
      <c r="C41" s="295">
        <v>1512</v>
      </c>
      <c r="D41" s="288">
        <v>1553</v>
      </c>
      <c r="E41" s="52">
        <f t="shared" si="13"/>
        <v>2.7116402116402115E-2</v>
      </c>
      <c r="F41" s="302">
        <v>1237</v>
      </c>
      <c r="G41" s="52">
        <f t="shared" si="20"/>
        <v>0.25545675020210185</v>
      </c>
      <c r="H41" s="303">
        <v>846</v>
      </c>
      <c r="I41" s="52">
        <f t="shared" si="21"/>
        <v>0.8356973995271868</v>
      </c>
      <c r="J41" s="294">
        <v>11793</v>
      </c>
      <c r="K41" s="295">
        <v>11696</v>
      </c>
      <c r="L41" s="54">
        <f t="shared" si="14"/>
        <v>8.2934336525307805E-3</v>
      </c>
      <c r="M41" s="294">
        <v>10222</v>
      </c>
      <c r="N41" s="54">
        <f t="shared" si="15"/>
        <v>0.15368812365486206</v>
      </c>
      <c r="O41" s="294">
        <v>9457</v>
      </c>
      <c r="P41" s="52">
        <f t="shared" si="16"/>
        <v>0.24701279475520779</v>
      </c>
      <c r="Q41" s="52">
        <f t="shared" si="17"/>
        <v>0.13168828966335963</v>
      </c>
      <c r="R41" s="52">
        <f t="shared" si="18"/>
        <v>0.12927496580027359</v>
      </c>
      <c r="S41" s="52">
        <f t="shared" si="19"/>
        <v>2.4133238630860421E-3</v>
      </c>
      <c r="T41" s="52">
        <f t="shared" si="22"/>
        <v>0.12101350029348464</v>
      </c>
      <c r="U41" s="52">
        <f t="shared" si="23"/>
        <v>1.0674789369874996E-2</v>
      </c>
      <c r="V41" s="52">
        <f t="shared" si="0"/>
        <v>8.9457544675901446E-2</v>
      </c>
      <c r="W41" s="52">
        <f t="shared" si="1"/>
        <v>4.2230744987458185E-2</v>
      </c>
      <c r="X41" s="84">
        <v>0.14705882352941177</v>
      </c>
      <c r="Y41" s="84">
        <v>0.16137526487492249</v>
      </c>
      <c r="Z41" s="80">
        <v>0.3146067415730337</v>
      </c>
      <c r="AA41" s="140">
        <v>0.26215417851700573</v>
      </c>
    </row>
    <row r="42" spans="1:27" ht="17" thickBot="1" x14ac:dyDescent="0.25">
      <c r="A42" s="73">
        <v>63</v>
      </c>
      <c r="B42" s="45" t="s">
        <v>65</v>
      </c>
      <c r="C42" s="295">
        <v>977</v>
      </c>
      <c r="D42" s="288">
        <v>964</v>
      </c>
      <c r="E42" s="52">
        <f t="shared" si="13"/>
        <v>-1.3306038894575231E-2</v>
      </c>
      <c r="F42" s="302">
        <v>904</v>
      </c>
      <c r="G42" s="52">
        <f t="shared" si="20"/>
        <v>6.637168141592921E-2</v>
      </c>
      <c r="H42" s="303">
        <v>892</v>
      </c>
      <c r="I42" s="52">
        <f t="shared" si="21"/>
        <v>8.0717488789237665E-2</v>
      </c>
      <c r="J42" s="294">
        <v>8867</v>
      </c>
      <c r="K42" s="295">
        <v>9007</v>
      </c>
      <c r="L42" s="54">
        <f t="shared" si="14"/>
        <v>-1.554346619296103E-2</v>
      </c>
      <c r="M42" s="294">
        <v>8914</v>
      </c>
      <c r="N42" s="54">
        <f t="shared" si="15"/>
        <v>-5.2726048911824093E-3</v>
      </c>
      <c r="O42" s="294">
        <v>9713</v>
      </c>
      <c r="P42" s="52">
        <f t="shared" si="16"/>
        <v>-8.7099763203953462E-2</v>
      </c>
      <c r="Q42" s="52">
        <f t="shared" si="17"/>
        <v>0.1087177173790459</v>
      </c>
      <c r="R42" s="52">
        <f t="shared" si="18"/>
        <v>0.10847118907516376</v>
      </c>
      <c r="S42" s="52">
        <f t="shared" si="19"/>
        <v>2.4652830388213753E-4</v>
      </c>
      <c r="T42" s="52">
        <f t="shared" si="22"/>
        <v>0.10141350684316805</v>
      </c>
      <c r="U42" s="52">
        <f t="shared" si="23"/>
        <v>7.3042105358778475E-3</v>
      </c>
      <c r="V42" s="52">
        <f t="shared" si="0"/>
        <v>9.1835684134664877E-2</v>
      </c>
      <c r="W42" s="52">
        <f t="shared" si="1"/>
        <v>1.688203324438102E-2</v>
      </c>
      <c r="X42" s="106">
        <v>9.5238095238095233E-2</v>
      </c>
      <c r="Y42" s="107">
        <v>0.13683904328492244</v>
      </c>
      <c r="Z42" s="92"/>
      <c r="AA42" s="142"/>
    </row>
    <row r="43" spans="1:27" ht="17" thickBot="1" x14ac:dyDescent="0.25">
      <c r="A43" s="81">
        <v>64</v>
      </c>
      <c r="B43" s="45" t="s">
        <v>66</v>
      </c>
      <c r="C43" s="295">
        <v>153</v>
      </c>
      <c r="D43" s="288">
        <v>159</v>
      </c>
      <c r="E43" s="52">
        <f t="shared" si="13"/>
        <v>3.9215686274509803E-2</v>
      </c>
      <c r="F43" s="302">
        <v>141</v>
      </c>
      <c r="G43" s="52">
        <f t="shared" si="20"/>
        <v>0.1276595744680851</v>
      </c>
      <c r="H43" s="303">
        <v>124</v>
      </c>
      <c r="I43" s="52">
        <f t="shared" si="21"/>
        <v>0.28225806451612906</v>
      </c>
      <c r="J43" s="294">
        <v>1459</v>
      </c>
      <c r="K43" s="295">
        <v>1544</v>
      </c>
      <c r="L43" s="54">
        <f t="shared" si="14"/>
        <v>-5.5051813471502592E-2</v>
      </c>
      <c r="M43" s="294">
        <v>1779</v>
      </c>
      <c r="N43" s="54">
        <f t="shared" si="15"/>
        <v>-0.17987633501967398</v>
      </c>
      <c r="O43" s="294">
        <v>1610</v>
      </c>
      <c r="P43" s="52">
        <f t="shared" si="16"/>
        <v>-9.3788819875776391E-2</v>
      </c>
      <c r="Q43" s="52">
        <f t="shared" si="17"/>
        <v>0.10897875257025359</v>
      </c>
      <c r="R43" s="52">
        <f t="shared" si="18"/>
        <v>9.9093264248704668E-2</v>
      </c>
      <c r="S43" s="52">
        <f t="shared" si="19"/>
        <v>9.8854883215489242E-3</v>
      </c>
      <c r="T43" s="52">
        <f t="shared" si="22"/>
        <v>7.9258010118043842E-2</v>
      </c>
      <c r="U43" s="52">
        <f t="shared" si="23"/>
        <v>2.972074245220975E-2</v>
      </c>
      <c r="V43" s="52">
        <f t="shared" si="0"/>
        <v>7.7018633540372666E-2</v>
      </c>
      <c r="W43" s="52">
        <f t="shared" si="1"/>
        <v>3.1960119029880926E-2</v>
      </c>
      <c r="X43" s="100"/>
      <c r="Y43" s="100"/>
      <c r="Z43" s="92"/>
      <c r="AA43" s="142"/>
    </row>
    <row r="44" spans="1:27" ht="17" thickBot="1" x14ac:dyDescent="0.25">
      <c r="A44" s="73">
        <v>67</v>
      </c>
      <c r="B44" s="45" t="s">
        <v>67</v>
      </c>
      <c r="C44" s="295">
        <v>616</v>
      </c>
      <c r="D44" s="288">
        <v>612</v>
      </c>
      <c r="E44" s="52">
        <f t="shared" si="13"/>
        <v>-6.4935064935064939E-3</v>
      </c>
      <c r="F44" s="302">
        <v>654</v>
      </c>
      <c r="G44" s="52">
        <f t="shared" si="20"/>
        <v>-6.4220183486238536E-2</v>
      </c>
      <c r="H44" s="303">
        <v>637</v>
      </c>
      <c r="I44" s="52">
        <f t="shared" si="21"/>
        <v>-3.924646781789639E-2</v>
      </c>
      <c r="J44" s="294">
        <v>5658</v>
      </c>
      <c r="K44" s="295">
        <v>5765</v>
      </c>
      <c r="L44" s="54">
        <f t="shared" si="14"/>
        <v>-1.8560277536860365E-2</v>
      </c>
      <c r="M44" s="294">
        <v>5743</v>
      </c>
      <c r="N44" s="54">
        <f t="shared" si="15"/>
        <v>-1.4800626850078356E-2</v>
      </c>
      <c r="O44" s="294">
        <v>6354</v>
      </c>
      <c r="P44" s="52">
        <f t="shared" si="16"/>
        <v>-0.10953729933899906</v>
      </c>
      <c r="Q44" s="52">
        <f t="shared" si="17"/>
        <v>0.10816542948038176</v>
      </c>
      <c r="R44" s="52">
        <f t="shared" si="18"/>
        <v>0.10685169124024284</v>
      </c>
      <c r="S44" s="52">
        <f t="shared" si="19"/>
        <v>1.3137382401389175E-3</v>
      </c>
      <c r="T44" s="52">
        <f t="shared" si="22"/>
        <v>0.11387776423472053</v>
      </c>
      <c r="U44" s="52">
        <f t="shared" si="23"/>
        <v>-5.7123347543387715E-3</v>
      </c>
      <c r="V44" s="52">
        <f t="shared" si="0"/>
        <v>0.10025180988353793</v>
      </c>
      <c r="W44" s="52">
        <f t="shared" si="1"/>
        <v>7.9136195968438211E-3</v>
      </c>
      <c r="X44" s="100"/>
      <c r="Y44" s="100"/>
      <c r="Z44" s="80">
        <v>0.45614035087719296</v>
      </c>
      <c r="AA44" s="140">
        <v>0.41070345142138276</v>
      </c>
    </row>
    <row r="45" spans="1:27" ht="17" thickBot="1" x14ac:dyDescent="0.25">
      <c r="A45" s="73">
        <v>68</v>
      </c>
      <c r="B45" s="45" t="s">
        <v>68</v>
      </c>
      <c r="C45" s="295">
        <v>1632</v>
      </c>
      <c r="D45" s="288">
        <v>1635</v>
      </c>
      <c r="E45" s="52">
        <f t="shared" si="13"/>
        <v>1.838235294117647E-3</v>
      </c>
      <c r="F45" s="302">
        <v>1513</v>
      </c>
      <c r="G45" s="52">
        <f t="shared" si="20"/>
        <v>8.0634500991407801E-2</v>
      </c>
      <c r="H45" s="303">
        <v>1267</v>
      </c>
      <c r="I45" s="52">
        <f t="shared" si="21"/>
        <v>0.2904498816101026</v>
      </c>
      <c r="J45" s="294">
        <v>14742</v>
      </c>
      <c r="K45" s="295">
        <v>14786</v>
      </c>
      <c r="L45" s="54">
        <f t="shared" si="14"/>
        <v>-2.9757879074800487E-3</v>
      </c>
      <c r="M45" s="294">
        <v>13660</v>
      </c>
      <c r="N45" s="54">
        <f t="shared" si="15"/>
        <v>7.9209370424597358E-2</v>
      </c>
      <c r="O45" s="294">
        <v>14258</v>
      </c>
      <c r="P45" s="52">
        <f t="shared" si="16"/>
        <v>3.3945854958619723E-2</v>
      </c>
      <c r="Q45" s="52">
        <f t="shared" si="17"/>
        <v>0.11090761090761091</v>
      </c>
      <c r="R45" s="52">
        <f t="shared" si="18"/>
        <v>0.11037467875016908</v>
      </c>
      <c r="S45" s="52">
        <f t="shared" si="19"/>
        <v>5.3293215744182332E-4</v>
      </c>
      <c r="T45" s="52">
        <f t="shared" si="22"/>
        <v>0.11076134699853588</v>
      </c>
      <c r="U45" s="52">
        <f t="shared" si="23"/>
        <v>1.4626390907503117E-4</v>
      </c>
      <c r="V45" s="52">
        <f t="shared" si="0"/>
        <v>8.8862393042502458E-2</v>
      </c>
      <c r="W45" s="52">
        <f t="shared" si="1"/>
        <v>2.2045217865108449E-2</v>
      </c>
      <c r="X45" s="100">
        <v>9.1463414634146339E-2</v>
      </c>
      <c r="Y45" s="100">
        <v>0.12811501069097345</v>
      </c>
      <c r="Z45" s="80">
        <v>0.53174603174603174</v>
      </c>
      <c r="AA45" s="140">
        <v>0.5421761386831514</v>
      </c>
    </row>
    <row r="46" spans="1:27" ht="17" thickBot="1" x14ac:dyDescent="0.25">
      <c r="A46" s="73">
        <v>69</v>
      </c>
      <c r="B46" s="59" t="s">
        <v>69</v>
      </c>
      <c r="C46" s="291">
        <v>455</v>
      </c>
      <c r="D46" s="292">
        <v>450</v>
      </c>
      <c r="E46" s="56">
        <f t="shared" si="13"/>
        <v>-1.098901098901099E-2</v>
      </c>
      <c r="F46" s="308">
        <v>385</v>
      </c>
      <c r="G46" s="56">
        <f t="shared" si="20"/>
        <v>0.16883116883116883</v>
      </c>
      <c r="H46" s="309">
        <v>370</v>
      </c>
      <c r="I46" s="56">
        <f t="shared" si="21"/>
        <v>0.21621621621621623</v>
      </c>
      <c r="J46" s="294">
        <v>4353</v>
      </c>
      <c r="K46" s="291">
        <v>4384</v>
      </c>
      <c r="L46" s="57">
        <f t="shared" si="14"/>
        <v>-7.0711678832116789E-3</v>
      </c>
      <c r="M46" s="294">
        <v>4204</v>
      </c>
      <c r="N46" s="57">
        <f t="shared" si="15"/>
        <v>3.5442435775451954E-2</v>
      </c>
      <c r="O46" s="294">
        <v>4437</v>
      </c>
      <c r="P46" s="56">
        <f t="shared" si="16"/>
        <v>-1.8931710615280595E-2</v>
      </c>
      <c r="Q46" s="56">
        <f t="shared" si="17"/>
        <v>0.10337698139214335</v>
      </c>
      <c r="R46" s="56">
        <f t="shared" si="18"/>
        <v>0.10378649635036497</v>
      </c>
      <c r="S46" s="56">
        <f t="shared" si="19"/>
        <v>-4.0951495822161288E-4</v>
      </c>
      <c r="T46" s="56">
        <f t="shared" si="22"/>
        <v>9.1579448144624168E-2</v>
      </c>
      <c r="U46" s="56">
        <f t="shared" si="23"/>
        <v>1.1797533247519185E-2</v>
      </c>
      <c r="V46" s="56">
        <f t="shared" si="0"/>
        <v>8.338967771016452E-2</v>
      </c>
      <c r="W46" s="56">
        <f t="shared" si="1"/>
        <v>1.9987303681978832E-2</v>
      </c>
      <c r="X46" s="102">
        <v>0.25531914893617019</v>
      </c>
      <c r="Y46" s="102">
        <v>0.145643775586692</v>
      </c>
      <c r="Z46" s="65">
        <v>0.36363636363636365</v>
      </c>
      <c r="AA46" s="143">
        <v>0.45023879346459994</v>
      </c>
    </row>
    <row r="47" spans="1:27" ht="17" thickBot="1" x14ac:dyDescent="0.25">
      <c r="A47" s="73">
        <v>70</v>
      </c>
      <c r="B47" s="45" t="s">
        <v>70</v>
      </c>
      <c r="C47" s="295">
        <v>395</v>
      </c>
      <c r="D47" s="288">
        <v>362</v>
      </c>
      <c r="E47" s="52">
        <f t="shared" si="13"/>
        <v>-8.3544303797468356E-2</v>
      </c>
      <c r="F47" s="302">
        <v>360</v>
      </c>
      <c r="G47" s="52">
        <f t="shared" si="20"/>
        <v>5.5555555555555558E-3</v>
      </c>
      <c r="H47" s="303">
        <v>357</v>
      </c>
      <c r="I47" s="52">
        <f t="shared" si="21"/>
        <v>1.4005602240896359E-2</v>
      </c>
      <c r="J47" s="294">
        <v>3809</v>
      </c>
      <c r="K47" s="295">
        <v>3858</v>
      </c>
      <c r="L47" s="54">
        <f t="shared" si="14"/>
        <v>-1.2700881285640227E-2</v>
      </c>
      <c r="M47" s="294">
        <v>3856</v>
      </c>
      <c r="N47" s="54">
        <f t="shared" si="15"/>
        <v>-1.2188796680497925E-2</v>
      </c>
      <c r="O47" s="294">
        <v>4224</v>
      </c>
      <c r="P47" s="52">
        <f t="shared" si="16"/>
        <v>-9.8248106060606064E-2</v>
      </c>
      <c r="Q47" s="52">
        <f t="shared" si="17"/>
        <v>9.5038067734313475E-2</v>
      </c>
      <c r="R47" s="52">
        <f t="shared" si="18"/>
        <v>0.10238465526179368</v>
      </c>
      <c r="S47" s="52">
        <f t="shared" si="19"/>
        <v>-7.3465875274802001E-3</v>
      </c>
      <c r="T47" s="52">
        <f t="shared" si="22"/>
        <v>9.3360995850622408E-2</v>
      </c>
      <c r="U47" s="52">
        <f t="shared" si="23"/>
        <v>1.677071883691067E-3</v>
      </c>
      <c r="V47" s="52">
        <f t="shared" si="0"/>
        <v>8.4517045454545456E-2</v>
      </c>
      <c r="W47" s="52">
        <f t="shared" si="1"/>
        <v>1.0521022279768019E-2</v>
      </c>
      <c r="X47" s="100">
        <v>0.22580645161290322</v>
      </c>
      <c r="Y47" s="100">
        <v>-1.0628183361629901E-2</v>
      </c>
      <c r="Z47" s="80">
        <v>0.61224489795918369</v>
      </c>
      <c r="AA47" s="140">
        <v>0.56079005833510498</v>
      </c>
    </row>
    <row r="48" spans="1:27" ht="17" thickBot="1" x14ac:dyDescent="0.25">
      <c r="A48" s="73">
        <v>71</v>
      </c>
      <c r="B48" s="45" t="s">
        <v>71</v>
      </c>
      <c r="C48" s="295">
        <v>1242</v>
      </c>
      <c r="D48" s="288">
        <v>1180</v>
      </c>
      <c r="E48" s="52">
        <f t="shared" si="13"/>
        <v>-4.9919484702093397E-2</v>
      </c>
      <c r="F48" s="302">
        <v>1150</v>
      </c>
      <c r="G48" s="52">
        <f t="shared" si="20"/>
        <v>2.6086956521739129E-2</v>
      </c>
      <c r="H48" s="303">
        <v>1015</v>
      </c>
      <c r="I48" s="52">
        <f t="shared" si="21"/>
        <v>0.1625615763546798</v>
      </c>
      <c r="J48" s="294">
        <v>10480</v>
      </c>
      <c r="K48" s="295">
        <v>9571</v>
      </c>
      <c r="L48" s="54">
        <f t="shared" si="14"/>
        <v>9.4974401838888306E-2</v>
      </c>
      <c r="M48" s="294">
        <v>8188</v>
      </c>
      <c r="N48" s="54">
        <f t="shared" si="15"/>
        <v>0.27992183683439181</v>
      </c>
      <c r="O48" s="294">
        <v>9960</v>
      </c>
      <c r="P48" s="52">
        <f t="shared" si="16"/>
        <v>5.2208835341365459E-2</v>
      </c>
      <c r="Q48" s="52">
        <f t="shared" si="17"/>
        <v>0.11259541984732824</v>
      </c>
      <c r="R48" s="52">
        <f t="shared" si="18"/>
        <v>0.12976700449273848</v>
      </c>
      <c r="S48" s="52">
        <f t="shared" si="19"/>
        <v>-1.7171584645410243E-2</v>
      </c>
      <c r="T48" s="52">
        <f t="shared" si="22"/>
        <v>0.1404494382022472</v>
      </c>
      <c r="U48" s="52">
        <f t="shared" si="23"/>
        <v>-2.7854018354918963E-2</v>
      </c>
      <c r="V48" s="52">
        <f t="shared" si="0"/>
        <v>0.10190763052208836</v>
      </c>
      <c r="W48" s="52">
        <f t="shared" si="1"/>
        <v>1.068778932523988E-2</v>
      </c>
      <c r="X48" s="100">
        <v>0.17475728155339806</v>
      </c>
      <c r="Y48" s="100">
        <v>0.11284307298348248</v>
      </c>
      <c r="Z48" s="80">
        <v>0.35802469135802467</v>
      </c>
      <c r="AA48" s="140">
        <v>0.27086016445968047</v>
      </c>
    </row>
    <row r="49" spans="1:27" ht="17" thickBot="1" x14ac:dyDescent="0.25">
      <c r="A49" s="73">
        <v>72</v>
      </c>
      <c r="B49" s="45" t="s">
        <v>72</v>
      </c>
      <c r="C49" s="295">
        <v>893</v>
      </c>
      <c r="D49" s="288">
        <v>855</v>
      </c>
      <c r="E49" s="52">
        <f t="shared" si="13"/>
        <v>-4.2553191489361701E-2</v>
      </c>
      <c r="F49" s="302">
        <v>826</v>
      </c>
      <c r="G49" s="52">
        <f t="shared" si="20"/>
        <v>3.5108958837772396E-2</v>
      </c>
      <c r="H49" s="303">
        <v>775</v>
      </c>
      <c r="I49" s="52">
        <f t="shared" si="21"/>
        <v>0.1032258064516129</v>
      </c>
      <c r="J49" s="294">
        <v>5394</v>
      </c>
      <c r="K49" s="295">
        <v>5487</v>
      </c>
      <c r="L49" s="54">
        <f t="shared" si="14"/>
        <v>-1.6949152542372881E-2</v>
      </c>
      <c r="M49" s="294">
        <v>5257</v>
      </c>
      <c r="N49" s="54">
        <f t="shared" si="15"/>
        <v>2.606049077420582E-2</v>
      </c>
      <c r="O49" s="294">
        <v>5441</v>
      </c>
      <c r="P49" s="52">
        <f t="shared" si="16"/>
        <v>-8.6381179930159896E-3</v>
      </c>
      <c r="Q49" s="52">
        <f t="shared" si="17"/>
        <v>0.15850945494994439</v>
      </c>
      <c r="R49" s="52">
        <f t="shared" si="18"/>
        <v>0.16274831419719338</v>
      </c>
      <c r="S49" s="52">
        <f t="shared" si="19"/>
        <v>-4.2388592472489828E-3</v>
      </c>
      <c r="T49" s="52">
        <f t="shared" si="22"/>
        <v>0.15712383488681758</v>
      </c>
      <c r="U49" s="52">
        <f t="shared" si="23"/>
        <v>1.3856200631268134E-3</v>
      </c>
      <c r="V49" s="52">
        <f t="shared" si="0"/>
        <v>0.14243705201249771</v>
      </c>
      <c r="W49" s="52">
        <f t="shared" si="1"/>
        <v>1.6072402937446689E-2</v>
      </c>
      <c r="X49" s="108">
        <v>0.171875</v>
      </c>
      <c r="Y49" s="108">
        <v>0.22651999214499216</v>
      </c>
      <c r="Z49" s="80">
        <v>0.21052631578947367</v>
      </c>
      <c r="AA49" s="140">
        <v>0.31550461552679565</v>
      </c>
    </row>
    <row r="50" spans="1:27" ht="17" thickBot="1" x14ac:dyDescent="0.25">
      <c r="A50" s="73">
        <v>73</v>
      </c>
      <c r="B50" s="45" t="s">
        <v>73</v>
      </c>
      <c r="C50" s="295">
        <v>1240</v>
      </c>
      <c r="D50" s="288">
        <v>1206</v>
      </c>
      <c r="E50" s="52">
        <f t="shared" si="13"/>
        <v>-2.7419354838709678E-2</v>
      </c>
      <c r="F50" s="302">
        <v>1207</v>
      </c>
      <c r="G50" s="52">
        <f t="shared" si="20"/>
        <v>-8.2850041425020708E-4</v>
      </c>
      <c r="H50" s="303">
        <v>1031</v>
      </c>
      <c r="I50" s="52">
        <f t="shared" si="21"/>
        <v>0.16973811833171679</v>
      </c>
      <c r="J50" s="294">
        <v>15152</v>
      </c>
      <c r="K50" s="295">
        <v>15338</v>
      </c>
      <c r="L50" s="54">
        <f t="shared" si="14"/>
        <v>-1.2126744034424305E-2</v>
      </c>
      <c r="M50" s="294">
        <v>14408</v>
      </c>
      <c r="N50" s="54">
        <f t="shared" si="15"/>
        <v>5.1637978900610775E-2</v>
      </c>
      <c r="O50" s="294">
        <v>15121</v>
      </c>
      <c r="P50" s="52">
        <f t="shared" si="16"/>
        <v>2.050128959724886E-3</v>
      </c>
      <c r="Q50" s="52">
        <f t="shared" si="17"/>
        <v>7.9593453009503698E-2</v>
      </c>
      <c r="R50" s="52">
        <f t="shared" si="18"/>
        <v>8.0844960229495375E-2</v>
      </c>
      <c r="S50" s="52">
        <f t="shared" si="19"/>
        <v>-1.2515072199916766E-3</v>
      </c>
      <c r="T50" s="52">
        <f t="shared" si="22"/>
        <v>8.3772903942254298E-2</v>
      </c>
      <c r="U50" s="52">
        <f t="shared" si="23"/>
        <v>-4.1794509327506002E-3</v>
      </c>
      <c r="V50" s="52">
        <f t="shared" si="0"/>
        <v>6.8183321208914752E-2</v>
      </c>
      <c r="W50" s="52">
        <f t="shared" si="1"/>
        <v>1.1410131800588946E-2</v>
      </c>
      <c r="X50" s="84">
        <v>0.13131313131313133</v>
      </c>
      <c r="Y50" s="84">
        <v>0.11424293098206142</v>
      </c>
      <c r="Z50" s="80">
        <v>0.16470588235294117</v>
      </c>
      <c r="AA50" s="140">
        <v>0.20938012207242548</v>
      </c>
    </row>
    <row r="51" spans="1:27" ht="17" thickBot="1" x14ac:dyDescent="0.25">
      <c r="A51" s="73">
        <v>74</v>
      </c>
      <c r="B51" s="45" t="s">
        <v>15</v>
      </c>
      <c r="C51" s="310"/>
      <c r="D51" s="311"/>
      <c r="E51" s="52"/>
      <c r="F51" s="313"/>
      <c r="G51" s="52"/>
      <c r="H51" s="311"/>
      <c r="I51" s="52"/>
      <c r="J51" s="314"/>
      <c r="K51" s="315"/>
      <c r="L51" s="54"/>
      <c r="M51" s="316"/>
      <c r="N51" s="54"/>
      <c r="O51" s="316"/>
      <c r="P51" s="52"/>
      <c r="Q51" s="52"/>
      <c r="R51" s="52"/>
      <c r="S51" s="52"/>
      <c r="T51" s="52"/>
      <c r="U51" s="52"/>
      <c r="V51" s="52"/>
      <c r="W51" s="52"/>
      <c r="X51" s="84"/>
      <c r="Y51" s="84"/>
      <c r="Z51" s="80"/>
      <c r="AA51" s="141"/>
    </row>
    <row r="52" spans="1:27" ht="17" thickBot="1" x14ac:dyDescent="0.25">
      <c r="A52" s="73">
        <v>75</v>
      </c>
      <c r="B52" s="45" t="s">
        <v>74</v>
      </c>
      <c r="C52" s="295">
        <v>535</v>
      </c>
      <c r="D52" s="288">
        <v>528</v>
      </c>
      <c r="E52" s="52">
        <f>(D52-C52)/C52</f>
        <v>-1.3084112149532711E-2</v>
      </c>
      <c r="F52" s="302">
        <v>486</v>
      </c>
      <c r="G52" s="52">
        <f>(D52-F52)/F52</f>
        <v>8.6419753086419748E-2</v>
      </c>
      <c r="H52" s="303">
        <v>457</v>
      </c>
      <c r="I52" s="52">
        <f>(D52-H52)/H52</f>
        <v>0.15536105032822758</v>
      </c>
      <c r="J52" s="294">
        <v>6382</v>
      </c>
      <c r="K52" s="295">
        <v>6394</v>
      </c>
      <c r="L52" s="54">
        <f>(J52-K52)/K52</f>
        <v>-1.876759461995621E-3</v>
      </c>
      <c r="M52" s="294">
        <v>6027</v>
      </c>
      <c r="N52" s="54">
        <f>(J52-M52)/M52</f>
        <v>5.8901609424257505E-2</v>
      </c>
      <c r="O52" s="294">
        <v>6413</v>
      </c>
      <c r="P52" s="52">
        <f>(J52-O52)/O52</f>
        <v>-4.8339310774988308E-3</v>
      </c>
      <c r="Q52" s="52">
        <f>(D52/J52)</f>
        <v>8.2732685678470697E-2</v>
      </c>
      <c r="R52" s="52">
        <f>(C52/K52)</f>
        <v>8.3672192680638094E-2</v>
      </c>
      <c r="S52" s="52">
        <f>(Q52-R52)</f>
        <v>-9.3950700216739735E-4</v>
      </c>
      <c r="T52" s="52">
        <f>(F52/M52)</f>
        <v>8.0637132901941258E-2</v>
      </c>
      <c r="U52" s="52">
        <f>(Q52-T52)</f>
        <v>2.0955527765294385E-3</v>
      </c>
      <c r="V52" s="52">
        <f t="shared" si="0"/>
        <v>7.1261500077966625E-2</v>
      </c>
      <c r="W52" s="52">
        <f t="shared" si="1"/>
        <v>1.1471185600504072E-2</v>
      </c>
      <c r="X52" s="84">
        <v>0.1875</v>
      </c>
      <c r="Y52" s="84">
        <v>0.28784551706344963</v>
      </c>
      <c r="Z52" s="80">
        <v>0.56666666666666665</v>
      </c>
      <c r="AA52" s="140">
        <v>0.51572064916051463</v>
      </c>
    </row>
    <row r="53" spans="1:27" ht="17" thickBot="1" x14ac:dyDescent="0.25">
      <c r="A53" s="73">
        <v>78</v>
      </c>
      <c r="B53" s="45" t="s">
        <v>9</v>
      </c>
      <c r="C53" s="310"/>
      <c r="D53" s="311"/>
      <c r="E53" s="52"/>
      <c r="F53" s="313"/>
      <c r="G53" s="52"/>
      <c r="H53" s="311"/>
      <c r="I53" s="52"/>
      <c r="J53" s="316"/>
      <c r="K53" s="317"/>
      <c r="L53" s="54"/>
      <c r="M53" s="316"/>
      <c r="N53" s="54"/>
      <c r="O53" s="316"/>
      <c r="P53" s="52"/>
      <c r="Q53" s="52"/>
      <c r="R53" s="52"/>
      <c r="S53" s="52"/>
      <c r="T53" s="52"/>
      <c r="U53" s="52"/>
      <c r="V53" s="52"/>
      <c r="W53" s="52"/>
      <c r="X53" s="84"/>
      <c r="Y53" s="84"/>
      <c r="Z53" s="80"/>
      <c r="AA53" s="141"/>
    </row>
    <row r="54" spans="1:27" ht="17" thickBot="1" x14ac:dyDescent="0.25">
      <c r="A54" s="73">
        <v>79</v>
      </c>
      <c r="B54" s="45" t="s">
        <v>75</v>
      </c>
      <c r="C54" s="295">
        <v>1027</v>
      </c>
      <c r="D54" s="288">
        <v>1004</v>
      </c>
      <c r="E54" s="52">
        <f>(D54-C54)/C54</f>
        <v>-2.2395326192794548E-2</v>
      </c>
      <c r="F54" s="302">
        <v>1004</v>
      </c>
      <c r="G54" s="52">
        <f>(D54-F54)/F54</f>
        <v>0</v>
      </c>
      <c r="H54" s="303">
        <v>765</v>
      </c>
      <c r="I54" s="52">
        <f>(D54-H54)/H54</f>
        <v>0.31241830065359477</v>
      </c>
      <c r="J54" s="294">
        <v>8126</v>
      </c>
      <c r="K54" s="295">
        <v>8308</v>
      </c>
      <c r="L54" s="54">
        <f>(J54-K54)/K54</f>
        <v>-2.1906596051998073E-2</v>
      </c>
      <c r="M54" s="294">
        <v>7606</v>
      </c>
      <c r="N54" s="54">
        <f>(J54-M54)/M54</f>
        <v>6.836707862214042E-2</v>
      </c>
      <c r="O54" s="294">
        <v>8392</v>
      </c>
      <c r="P54" s="52">
        <f>(J54-O54)/O54</f>
        <v>-3.169685414680648E-2</v>
      </c>
      <c r="Q54" s="52">
        <f>(D54/J54)</f>
        <v>0.1235540241201083</v>
      </c>
      <c r="R54" s="52">
        <f>(C54/K54)</f>
        <v>0.12361579200770342</v>
      </c>
      <c r="S54" s="52">
        <f>(Q54-R54)</f>
        <v>-6.1767887595126636E-5</v>
      </c>
      <c r="T54" s="52">
        <f>(F54/M54)</f>
        <v>0.13200105180120958</v>
      </c>
      <c r="U54" s="52">
        <f>(Q54-T54)</f>
        <v>-8.4470276811012823E-3</v>
      </c>
      <c r="V54" s="52">
        <f t="shared" si="0"/>
        <v>9.1158245948522398E-2</v>
      </c>
      <c r="W54" s="52">
        <f t="shared" si="1"/>
        <v>3.2395778171585898E-2</v>
      </c>
      <c r="X54" s="84">
        <v>0.20168067226890757</v>
      </c>
      <c r="Y54" s="84">
        <v>0.15595616185835551</v>
      </c>
      <c r="Z54" s="80">
        <v>0.52500000000000002</v>
      </c>
      <c r="AA54" s="140">
        <v>0.43704366937785072</v>
      </c>
    </row>
    <row r="55" spans="1:27" ht="17" thickBot="1" x14ac:dyDescent="0.25">
      <c r="A55" s="73">
        <v>81</v>
      </c>
      <c r="B55" s="45" t="s">
        <v>7</v>
      </c>
      <c r="C55" s="310"/>
      <c r="D55" s="311"/>
      <c r="E55" s="52"/>
      <c r="F55" s="313"/>
      <c r="G55" s="52"/>
      <c r="H55" s="311"/>
      <c r="I55" s="52"/>
      <c r="J55" s="311"/>
      <c r="K55" s="310"/>
      <c r="L55" s="54"/>
      <c r="M55" s="311"/>
      <c r="N55" s="54"/>
      <c r="O55" s="311"/>
      <c r="P55" s="52"/>
      <c r="Q55" s="52"/>
      <c r="R55" s="52"/>
      <c r="S55" s="52"/>
      <c r="T55" s="52"/>
      <c r="U55" s="52"/>
      <c r="V55" s="52"/>
      <c r="W55" s="52"/>
      <c r="X55" s="84"/>
      <c r="Y55" s="84"/>
      <c r="Z55" s="80"/>
      <c r="AA55" s="141"/>
    </row>
    <row r="56" spans="1:27" ht="17" thickBot="1" x14ac:dyDescent="0.25">
      <c r="A56" s="73">
        <v>82</v>
      </c>
      <c r="B56" s="45" t="s">
        <v>76</v>
      </c>
      <c r="C56" s="295">
        <v>486</v>
      </c>
      <c r="D56" s="288">
        <v>451</v>
      </c>
      <c r="E56" s="52">
        <f>(D56-C56)/C56</f>
        <v>-7.2016460905349799E-2</v>
      </c>
      <c r="F56" s="302">
        <v>410</v>
      </c>
      <c r="G56" s="52">
        <f>(D56-F56)/F56</f>
        <v>0.1</v>
      </c>
      <c r="H56" s="303">
        <v>353</v>
      </c>
      <c r="I56" s="52">
        <f>(D56-H56)/H56</f>
        <v>0.27762039660056659</v>
      </c>
      <c r="J56" s="294">
        <v>3956</v>
      </c>
      <c r="K56" s="295">
        <v>4378</v>
      </c>
      <c r="L56" s="54">
        <f>(J56-K56)/K56</f>
        <v>-9.6391046139789854E-2</v>
      </c>
      <c r="M56" s="294">
        <v>4396</v>
      </c>
      <c r="N56" s="54">
        <f>(J56-M56)/M56</f>
        <v>-0.10009099181073704</v>
      </c>
      <c r="O56" s="294">
        <v>5380</v>
      </c>
      <c r="P56" s="52">
        <f>(J56-O56)/O56</f>
        <v>-0.26468401486988846</v>
      </c>
      <c r="Q56" s="52">
        <f>(D56/J56)</f>
        <v>0.11400404448938321</v>
      </c>
      <c r="R56" s="52">
        <f>(C56/K56)</f>
        <v>0.11100959342165373</v>
      </c>
      <c r="S56" s="52">
        <f>(Q56-R56)</f>
        <v>2.9944510677294839E-3</v>
      </c>
      <c r="T56" s="52">
        <f>(F56/M56)</f>
        <v>9.326660600545951E-2</v>
      </c>
      <c r="U56" s="52">
        <f>(Q56-T56)</f>
        <v>2.0737438483923704E-2</v>
      </c>
      <c r="V56" s="52">
        <f t="shared" si="0"/>
        <v>6.5613382899628259E-2</v>
      </c>
      <c r="W56" s="52">
        <f t="shared" si="1"/>
        <v>4.8390661589754955E-2</v>
      </c>
      <c r="X56" s="84">
        <v>0.34615384615384615</v>
      </c>
      <c r="Y56" s="84">
        <v>0.32387153781890621</v>
      </c>
      <c r="Z56" s="80">
        <v>0.55555555555555558</v>
      </c>
      <c r="AA56" s="140">
        <v>0.46857825567502986</v>
      </c>
    </row>
    <row r="57" spans="1:27" ht="17" thickBot="1" x14ac:dyDescent="0.25">
      <c r="A57" s="73">
        <v>83</v>
      </c>
      <c r="B57" s="45" t="s">
        <v>77</v>
      </c>
      <c r="C57" s="295">
        <v>748</v>
      </c>
      <c r="D57" s="288">
        <v>758</v>
      </c>
      <c r="E57" s="52">
        <f>(D57-C57)/C57</f>
        <v>1.3368983957219251E-2</v>
      </c>
      <c r="F57" s="302">
        <v>764</v>
      </c>
      <c r="G57" s="52">
        <f>(D57-F57)/F57</f>
        <v>-7.8534031413612562E-3</v>
      </c>
      <c r="H57" s="303">
        <v>630</v>
      </c>
      <c r="I57" s="52">
        <f>(D57-H57)/H57</f>
        <v>0.20317460317460317</v>
      </c>
      <c r="J57" s="294">
        <v>6394</v>
      </c>
      <c r="K57" s="295">
        <v>6397</v>
      </c>
      <c r="L57" s="54">
        <f>(J57-K57)/K57</f>
        <v>-4.6896982960762859E-4</v>
      </c>
      <c r="M57" s="294">
        <v>5866</v>
      </c>
      <c r="N57" s="54">
        <f>(J57-M57)/M57</f>
        <v>9.0010228435049439E-2</v>
      </c>
      <c r="O57" s="294">
        <v>6989</v>
      </c>
      <c r="P57" s="52">
        <f>(J57-O57)/O57</f>
        <v>-8.5133781656889396E-2</v>
      </c>
      <c r="Q57" s="52">
        <f>(D57/J57)</f>
        <v>0.11854863934939006</v>
      </c>
      <c r="R57" s="52">
        <f>(C57/K57)</f>
        <v>0.11692981084883539</v>
      </c>
      <c r="S57" s="52">
        <f>(Q57-R57)</f>
        <v>1.6188285005546699E-3</v>
      </c>
      <c r="T57" s="52">
        <f>(F57/M57)</f>
        <v>0.13024207296283669</v>
      </c>
      <c r="U57" s="52">
        <f>(Q57-T57)</f>
        <v>-1.169343361344663E-2</v>
      </c>
      <c r="V57" s="52">
        <f t="shared" si="0"/>
        <v>9.0141651166118192E-2</v>
      </c>
      <c r="W57" s="52">
        <f t="shared" si="1"/>
        <v>2.8406988183271864E-2</v>
      </c>
      <c r="X57" s="84">
        <v>0.125</v>
      </c>
      <c r="Y57" s="84">
        <v>7.9879227053140087E-2</v>
      </c>
      <c r="Z57" s="80">
        <v>0.33333333333333331</v>
      </c>
      <c r="AA57" s="140">
        <v>0.35526471821337791</v>
      </c>
    </row>
    <row r="58" spans="1:27" ht="16" x14ac:dyDescent="0.2">
      <c r="A58" s="73">
        <v>84</v>
      </c>
      <c r="B58" s="45" t="s">
        <v>11</v>
      </c>
      <c r="C58" s="310"/>
      <c r="D58" s="311"/>
      <c r="E58" s="52"/>
      <c r="F58" s="313"/>
      <c r="G58" s="52"/>
      <c r="H58" s="311"/>
      <c r="I58" s="52"/>
      <c r="J58" s="316"/>
      <c r="K58" s="317"/>
      <c r="L58" s="54"/>
      <c r="M58" s="316"/>
      <c r="N58" s="54"/>
      <c r="O58" s="316"/>
      <c r="P58" s="52"/>
      <c r="Q58" s="52"/>
      <c r="R58" s="52"/>
      <c r="S58" s="52"/>
      <c r="T58" s="52"/>
      <c r="U58" s="52"/>
      <c r="V58" s="52"/>
      <c r="W58" s="52"/>
      <c r="X58" s="84"/>
      <c r="Y58" s="84"/>
      <c r="Z58" s="80"/>
      <c r="AA58" s="141"/>
    </row>
    <row r="59" spans="1:27" ht="16" x14ac:dyDescent="0.2">
      <c r="A59" s="73">
        <v>85</v>
      </c>
      <c r="B59" s="45" t="s">
        <v>12</v>
      </c>
      <c r="C59" s="310"/>
      <c r="D59" s="311"/>
      <c r="E59" s="52"/>
      <c r="F59" s="313"/>
      <c r="G59" s="52"/>
      <c r="H59" s="311"/>
      <c r="I59" s="52"/>
      <c r="J59" s="316"/>
      <c r="K59" s="317"/>
      <c r="L59" s="54"/>
      <c r="M59" s="316"/>
      <c r="N59" s="54"/>
      <c r="O59" s="316"/>
      <c r="P59" s="52"/>
      <c r="Q59" s="52"/>
      <c r="R59" s="52"/>
      <c r="S59" s="52"/>
      <c r="T59" s="52"/>
      <c r="U59" s="52"/>
      <c r="V59" s="52"/>
      <c r="W59" s="52"/>
      <c r="X59" s="84"/>
      <c r="Y59" s="84"/>
      <c r="Z59" s="80"/>
      <c r="AA59" s="141"/>
    </row>
    <row r="60" spans="1:27" ht="17" thickBot="1" x14ac:dyDescent="0.25">
      <c r="A60" s="73">
        <v>87</v>
      </c>
      <c r="B60" s="45" t="s">
        <v>8</v>
      </c>
      <c r="C60" s="310"/>
      <c r="D60" s="311"/>
      <c r="E60" s="52"/>
      <c r="F60" s="313"/>
      <c r="G60" s="52"/>
      <c r="H60" s="311"/>
      <c r="I60" s="52"/>
      <c r="J60" s="316"/>
      <c r="K60" s="317"/>
      <c r="L60" s="54"/>
      <c r="M60" s="316"/>
      <c r="N60" s="54"/>
      <c r="O60" s="316"/>
      <c r="P60" s="52"/>
      <c r="Q60" s="52"/>
      <c r="R60" s="52"/>
      <c r="S60" s="52"/>
      <c r="T60" s="52"/>
      <c r="U60" s="52"/>
      <c r="V60" s="52"/>
      <c r="W60" s="52"/>
      <c r="X60" s="84"/>
      <c r="Y60" s="84"/>
      <c r="Z60" s="80"/>
      <c r="AA60" s="141"/>
    </row>
    <row r="61" spans="1:27" ht="17" thickBot="1" x14ac:dyDescent="0.25">
      <c r="A61" s="73">
        <v>91</v>
      </c>
      <c r="B61" s="45" t="s">
        <v>78</v>
      </c>
      <c r="C61" s="295">
        <v>234</v>
      </c>
      <c r="D61" s="288">
        <v>174</v>
      </c>
      <c r="E61" s="52">
        <f>(D61-C61)/C61</f>
        <v>-0.25641025641025639</v>
      </c>
      <c r="F61" s="302">
        <v>234</v>
      </c>
      <c r="G61" s="52">
        <f>(D61-F61)/F61</f>
        <v>-0.25641025641025639</v>
      </c>
      <c r="H61" s="303">
        <v>212</v>
      </c>
      <c r="I61" s="52">
        <f>(D61-H61)/H61</f>
        <v>-0.17924528301886791</v>
      </c>
      <c r="J61" s="294">
        <v>4325</v>
      </c>
      <c r="K61" s="295">
        <v>4360</v>
      </c>
      <c r="L61" s="54">
        <f>(J61-K61)/K61</f>
        <v>-8.027522935779817E-3</v>
      </c>
      <c r="M61" s="294">
        <v>4499</v>
      </c>
      <c r="N61" s="54">
        <f>(J61-M61)/M61</f>
        <v>-3.8675261169148697E-2</v>
      </c>
      <c r="O61" s="294">
        <v>5204</v>
      </c>
      <c r="P61" s="52">
        <f>(J61-O61)/O61</f>
        <v>-0.16890853189853958</v>
      </c>
      <c r="Q61" s="52">
        <f>(D61/J61)</f>
        <v>4.0231213872832371E-2</v>
      </c>
      <c r="R61" s="52">
        <f>(C61/K61)</f>
        <v>5.3669724770642205E-2</v>
      </c>
      <c r="S61" s="52">
        <f>(Q61-R61)</f>
        <v>-1.3438510897809834E-2</v>
      </c>
      <c r="T61" s="52">
        <f>(F61/M61)</f>
        <v>5.2011558124027558E-2</v>
      </c>
      <c r="U61" s="52">
        <f>(Q61-T61)</f>
        <v>-1.1780344251195188E-2</v>
      </c>
      <c r="V61" s="52">
        <f t="shared" si="0"/>
        <v>4.073789392774789E-2</v>
      </c>
      <c r="W61" s="52">
        <f t="shared" si="1"/>
        <v>-5.0668005491551898E-4</v>
      </c>
      <c r="X61" s="84">
        <v>0.26190476190476192</v>
      </c>
      <c r="Y61" s="84">
        <v>0.28747492617461656</v>
      </c>
      <c r="Z61" s="92"/>
      <c r="AA61" s="142"/>
    </row>
    <row r="62" spans="1:27" ht="16" x14ac:dyDescent="0.2">
      <c r="A62" s="73">
        <v>92</v>
      </c>
      <c r="B62" s="45" t="s">
        <v>14</v>
      </c>
      <c r="C62" s="310"/>
      <c r="D62" s="311"/>
      <c r="E62" s="52"/>
      <c r="F62" s="313"/>
      <c r="G62" s="52"/>
      <c r="H62" s="311"/>
      <c r="I62" s="52"/>
      <c r="J62" s="311"/>
      <c r="K62" s="310"/>
      <c r="L62" s="54"/>
      <c r="M62" s="311"/>
      <c r="N62" s="54"/>
      <c r="O62" s="311"/>
      <c r="P62" s="52"/>
      <c r="Q62" s="52"/>
      <c r="R62" s="52"/>
      <c r="S62" s="52"/>
      <c r="T62" s="52"/>
      <c r="U62" s="52"/>
      <c r="V62" s="52"/>
      <c r="W62" s="52"/>
      <c r="X62" s="84"/>
      <c r="Y62" s="84"/>
      <c r="Z62" s="80"/>
      <c r="AA62" s="141"/>
    </row>
    <row r="63" spans="1:27" ht="16" x14ac:dyDescent="0.2">
      <c r="A63" s="71"/>
      <c r="B63" s="49" t="s">
        <v>32</v>
      </c>
      <c r="C63" s="318">
        <v>54416</v>
      </c>
      <c r="D63" s="319">
        <v>53503</v>
      </c>
      <c r="E63" s="52">
        <f>(D63-C63)/C63</f>
        <v>-1.6778153484269333E-2</v>
      </c>
      <c r="F63" s="300">
        <v>52545</v>
      </c>
      <c r="G63" s="52">
        <f>(D63-F63)/F63</f>
        <v>1.8231991626225141E-2</v>
      </c>
      <c r="H63" s="300">
        <v>44851</v>
      </c>
      <c r="I63" s="52">
        <f>(D63-H63)/H63</f>
        <v>0.19290539787295713</v>
      </c>
      <c r="J63" s="319">
        <v>568271</v>
      </c>
      <c r="K63" s="318">
        <v>575983</v>
      </c>
      <c r="L63" s="54">
        <f>(J63-K63)/K63</f>
        <v>-1.33892840587309E-2</v>
      </c>
      <c r="M63" s="300">
        <v>553378</v>
      </c>
      <c r="N63" s="54">
        <f>(J63-M63)/M63</f>
        <v>2.6912887754843885E-2</v>
      </c>
      <c r="O63" s="300">
        <v>579112</v>
      </c>
      <c r="P63" s="52">
        <f>(J63-O63)/O63</f>
        <v>-1.8720040337620356E-2</v>
      </c>
      <c r="Q63" s="52">
        <f>(D63/J63)</f>
        <v>9.4150502137184552E-2</v>
      </c>
      <c r="R63" s="52">
        <f>(C63/K63)</f>
        <v>9.4475010547186294E-2</v>
      </c>
      <c r="S63" s="52">
        <f>(Q63-R63)</f>
        <v>-3.2450841000174202E-4</v>
      </c>
      <c r="T63" s="52">
        <f>(F63/M63)</f>
        <v>9.4953178478363792E-2</v>
      </c>
      <c r="U63" s="52">
        <f>(Q63-T63)</f>
        <v>-8.0267634117923981E-4</v>
      </c>
      <c r="V63" s="52">
        <f>(H63/O63)</f>
        <v>7.7447885728494661E-2</v>
      </c>
      <c r="W63" s="52">
        <f>(Q63-V63)</f>
        <v>1.6702616408689891E-2</v>
      </c>
      <c r="X63" s="54">
        <v>0.17938942310643297</v>
      </c>
      <c r="Y63" s="54">
        <v>0.14778600595450397</v>
      </c>
      <c r="Z63" s="72">
        <v>0.39419214452551532</v>
      </c>
      <c r="AA63" s="146">
        <v>0.39424372197527408</v>
      </c>
    </row>
    <row r="71" spans="2:2" ht="17" x14ac:dyDescent="0.2">
      <c r="B71" s="286" t="s">
        <v>2</v>
      </c>
    </row>
    <row r="72" spans="2:2" x14ac:dyDescent="0.2">
      <c r="B72" s="11" t="s">
        <v>79</v>
      </c>
    </row>
    <row r="73" spans="2:2" x14ac:dyDescent="0.2">
      <c r="B73" s="12" t="s">
        <v>80</v>
      </c>
    </row>
    <row r="74" spans="2:2" x14ac:dyDescent="0.2">
      <c r="B74" t="s">
        <v>81</v>
      </c>
    </row>
    <row r="78" spans="2:2" x14ac:dyDescent="0.2">
      <c r="B78" s="17" t="s">
        <v>146</v>
      </c>
    </row>
    <row r="79" spans="2:2" x14ac:dyDescent="0.2">
      <c r="B79" t="s">
        <v>147</v>
      </c>
    </row>
    <row r="80" spans="2:2" x14ac:dyDescent="0.2">
      <c r="B80" t="s">
        <v>148</v>
      </c>
    </row>
    <row r="81" spans="2:2" x14ac:dyDescent="0.2">
      <c r="B81" t="s">
        <v>149</v>
      </c>
    </row>
    <row r="82" spans="2:2" x14ac:dyDescent="0.2">
      <c r="B82" t="s">
        <v>150</v>
      </c>
    </row>
    <row r="85" spans="2:2" ht="16" x14ac:dyDescent="0.2">
      <c r="B85" s="1"/>
    </row>
  </sheetData>
  <phoneticPr fontId="45" type="noConversion"/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8E6B4-96E7-3C42-AF5B-69BCADD5402E}">
  <dimension ref="A1:AC181"/>
  <sheetViews>
    <sheetView tabSelected="1" workbookViewId="0">
      <selection activeCell="H67" sqref="H67"/>
    </sheetView>
  </sheetViews>
  <sheetFormatPr baseColWidth="10" defaultRowHeight="15" x14ac:dyDescent="0.2"/>
  <cols>
    <col min="2" max="2" width="19.1640625" customWidth="1"/>
  </cols>
  <sheetData>
    <row r="1" spans="1:29" ht="19" x14ac:dyDescent="0.25">
      <c r="A1" s="320" t="s">
        <v>158</v>
      </c>
      <c r="C1" s="1"/>
      <c r="D1" s="1"/>
      <c r="E1" s="1"/>
      <c r="F1" s="1"/>
      <c r="G1" s="1"/>
      <c r="H1" s="1"/>
    </row>
    <row r="2" spans="1:29" ht="16" thickBot="1" x14ac:dyDescent="0.25">
      <c r="F2" s="287"/>
    </row>
    <row r="3" spans="1:29" ht="120" thickBot="1" x14ac:dyDescent="0.25">
      <c r="A3" s="46" t="s">
        <v>16</v>
      </c>
      <c r="B3" s="47" t="s">
        <v>17</v>
      </c>
      <c r="C3" s="47" t="s">
        <v>151</v>
      </c>
      <c r="D3" s="47" t="s">
        <v>18</v>
      </c>
      <c r="E3" s="47" t="s">
        <v>0</v>
      </c>
      <c r="F3" s="47" t="s">
        <v>152</v>
      </c>
      <c r="G3" s="47" t="s">
        <v>19</v>
      </c>
      <c r="H3" s="47" t="s">
        <v>153</v>
      </c>
      <c r="I3" s="47" t="s">
        <v>20</v>
      </c>
      <c r="J3" s="47" t="s">
        <v>21</v>
      </c>
      <c r="K3" s="47" t="s">
        <v>156</v>
      </c>
      <c r="L3" s="47" t="s">
        <v>22</v>
      </c>
      <c r="M3" s="47" t="s">
        <v>155</v>
      </c>
      <c r="N3" s="47" t="s">
        <v>23</v>
      </c>
      <c r="O3" s="47" t="s">
        <v>154</v>
      </c>
      <c r="P3" s="47" t="s">
        <v>24</v>
      </c>
      <c r="Q3" s="47" t="s">
        <v>1</v>
      </c>
      <c r="R3" s="47" t="s">
        <v>90</v>
      </c>
      <c r="S3" s="47" t="s">
        <v>25</v>
      </c>
      <c r="T3" s="47" t="s">
        <v>91</v>
      </c>
      <c r="U3" s="47" t="s">
        <v>26</v>
      </c>
      <c r="V3" s="47" t="s">
        <v>92</v>
      </c>
      <c r="W3" s="47" t="s">
        <v>27</v>
      </c>
      <c r="X3" s="47" t="s">
        <v>28</v>
      </c>
      <c r="Y3" s="47" t="s">
        <v>29</v>
      </c>
      <c r="Z3" s="47" t="s">
        <v>30</v>
      </c>
      <c r="AA3" s="48" t="s">
        <v>31</v>
      </c>
    </row>
    <row r="4" spans="1:29" ht="16" customHeight="1" thickBot="1" x14ac:dyDescent="0.25">
      <c r="A4" s="73">
        <v>5</v>
      </c>
      <c r="B4" s="45" t="s">
        <v>33</v>
      </c>
      <c r="C4" s="74">
        <v>585</v>
      </c>
      <c r="D4" s="324">
        <v>621</v>
      </c>
      <c r="E4" s="52">
        <f>(D4-C4)/C4</f>
        <v>6.1538461538461542E-2</v>
      </c>
      <c r="F4" s="289">
        <v>517</v>
      </c>
      <c r="G4" s="52">
        <f>(D4-F4)/F4</f>
        <v>0.20116054158607349</v>
      </c>
      <c r="H4" s="289">
        <v>397</v>
      </c>
      <c r="I4" s="52">
        <f>(D4-H4)/H4</f>
        <v>0.5642317380352645</v>
      </c>
      <c r="J4" s="288">
        <f>VALUE(5581)</f>
        <v>5581</v>
      </c>
      <c r="K4" s="288">
        <v>5550</v>
      </c>
      <c r="L4" s="54">
        <f>(J4-K4)/K4</f>
        <v>5.5855855855855858E-3</v>
      </c>
      <c r="M4" s="136" t="s">
        <v>108</v>
      </c>
      <c r="N4" s="54">
        <f>(J4-M4)/M4</f>
        <v>1.9546949214468395E-2</v>
      </c>
      <c r="O4" s="290">
        <v>5195</v>
      </c>
      <c r="P4" s="52">
        <f>(J4-O4)/O4</f>
        <v>7.4302213666987485E-2</v>
      </c>
      <c r="Q4" s="52">
        <f>(D4/J4)</f>
        <v>0.11127038165203369</v>
      </c>
      <c r="R4" s="52">
        <f>(C4/K4)</f>
        <v>0.10540540540540541</v>
      </c>
      <c r="S4" s="52">
        <f>(Q4-R4)</f>
        <v>5.8649762466282812E-3</v>
      </c>
      <c r="T4" s="52">
        <f>(F4/M4)</f>
        <v>9.4446474241870665E-2</v>
      </c>
      <c r="U4" s="52">
        <f>(Q4-T4)</f>
        <v>1.6823907410163028E-2</v>
      </c>
      <c r="V4" s="52">
        <f>(H4/O4)</f>
        <v>7.6419634263715105E-2</v>
      </c>
      <c r="W4" s="52">
        <f t="shared" ref="W4:W61" si="0">(Q4-V4)</f>
        <v>3.4850747388318587E-2</v>
      </c>
      <c r="X4" s="330">
        <v>-1.0810999999999999</v>
      </c>
      <c r="Y4" s="72">
        <v>-0.90139999999999998</v>
      </c>
      <c r="Z4" s="331">
        <v>0.45650000000000002</v>
      </c>
      <c r="AA4" s="140">
        <v>0.38469999999999999</v>
      </c>
      <c r="AB4" s="288"/>
      <c r="AC4" s="52"/>
    </row>
    <row r="5" spans="1:29" ht="17" thickBot="1" x14ac:dyDescent="0.25">
      <c r="A5" s="73">
        <v>6</v>
      </c>
      <c r="B5" s="59" t="s">
        <v>34</v>
      </c>
      <c r="C5" s="291">
        <v>169</v>
      </c>
      <c r="D5" s="326">
        <v>185</v>
      </c>
      <c r="E5" s="56">
        <f>(D5-C5)/C5</f>
        <v>9.4674556213017749E-2</v>
      </c>
      <c r="F5" s="293">
        <v>144</v>
      </c>
      <c r="G5" s="56">
        <f>(D5-F5)/F5</f>
        <v>0.28472222222222221</v>
      </c>
      <c r="H5" s="293">
        <v>214</v>
      </c>
      <c r="I5" s="56">
        <f>(D5-H5)/H5</f>
        <v>-0.13551401869158877</v>
      </c>
      <c r="J5" s="294">
        <f>VALUE(3439)</f>
        <v>3439</v>
      </c>
      <c r="K5" s="294">
        <v>3336</v>
      </c>
      <c r="L5" s="57">
        <f>(J5-K5)/K5</f>
        <v>3.0875299760191845E-2</v>
      </c>
      <c r="M5" s="83">
        <v>3249</v>
      </c>
      <c r="N5" s="57">
        <f>(J5-M5)/M5</f>
        <v>5.8479532163742687E-2</v>
      </c>
      <c r="O5" s="355"/>
      <c r="P5" s="56" t="e">
        <f>(J5-O5)/O5</f>
        <v>#DIV/0!</v>
      </c>
      <c r="Q5" s="56">
        <f>(D5/J5)</f>
        <v>5.3794707763884848E-2</v>
      </c>
      <c r="R5" s="56">
        <f>(C5/K5)</f>
        <v>5.0659472422062347E-2</v>
      </c>
      <c r="S5" s="56">
        <f>(Q5-R5)</f>
        <v>3.135235341822501E-3</v>
      </c>
      <c r="T5" s="56">
        <f>(F5/M5)</f>
        <v>4.4321329639889197E-2</v>
      </c>
      <c r="U5" s="56">
        <f>(Q5-T5)</f>
        <v>9.4733781239956516E-3</v>
      </c>
      <c r="V5" s="56" t="e">
        <f>(H5/O5)</f>
        <v>#DIV/0!</v>
      </c>
      <c r="W5" s="56" t="e">
        <f t="shared" si="0"/>
        <v>#DIV/0!</v>
      </c>
      <c r="X5" s="57"/>
      <c r="Y5" s="57"/>
      <c r="Z5" s="331">
        <v>0.3846</v>
      </c>
      <c r="AA5" s="143">
        <v>0.47760000000000002</v>
      </c>
      <c r="AB5" s="292"/>
      <c r="AC5" s="56"/>
    </row>
    <row r="6" spans="1:29" ht="17" thickBot="1" x14ac:dyDescent="0.25">
      <c r="A6" s="73">
        <v>8</v>
      </c>
      <c r="B6" s="45" t="s">
        <v>35</v>
      </c>
      <c r="C6" s="295">
        <v>281</v>
      </c>
      <c r="D6" s="324">
        <v>305</v>
      </c>
      <c r="E6" s="52">
        <f>(D6-C6)/C6</f>
        <v>8.5409252669039148E-2</v>
      </c>
      <c r="F6" s="289">
        <v>265</v>
      </c>
      <c r="G6" s="52">
        <f>(D6-F6)/F6</f>
        <v>0.15094339622641509</v>
      </c>
      <c r="H6" s="289">
        <v>280</v>
      </c>
      <c r="I6" s="52">
        <f>(D6-H6)/H6</f>
        <v>8.9285714285714288E-2</v>
      </c>
      <c r="J6" s="288">
        <f>VALUE(4454)</f>
        <v>4454</v>
      </c>
      <c r="K6" s="288">
        <v>4924</v>
      </c>
      <c r="L6" s="54">
        <f>(J6-K6)/K6</f>
        <v>-9.5450852965069055E-2</v>
      </c>
      <c r="M6" s="83">
        <v>4950</v>
      </c>
      <c r="N6" s="54">
        <f>(J6-M6)/M6</f>
        <v>-0.10020202020202021</v>
      </c>
      <c r="O6" s="294">
        <v>4633</v>
      </c>
      <c r="P6" s="52">
        <f>(J6-O6)/O6</f>
        <v>-3.8635873084394562E-2</v>
      </c>
      <c r="Q6" s="52">
        <f>(D6/J6)</f>
        <v>6.8477772788504712E-2</v>
      </c>
      <c r="R6" s="52">
        <f>(C6/K6)</f>
        <v>5.7067424857839152E-2</v>
      </c>
      <c r="S6" s="52">
        <f>(Q6-R6)</f>
        <v>1.141034793066556E-2</v>
      </c>
      <c r="T6" s="52">
        <f>(F6/M6)</f>
        <v>5.3535353535353533E-2</v>
      </c>
      <c r="U6" s="52">
        <f>(Q6-T6)</f>
        <v>1.4942419253151179E-2</v>
      </c>
      <c r="V6" s="52">
        <f>(H6/O6)</f>
        <v>6.0436002590114397E-2</v>
      </c>
      <c r="W6" s="52">
        <f t="shared" si="0"/>
        <v>8.0417701983903148E-3</v>
      </c>
      <c r="X6" s="57"/>
      <c r="Y6" s="57"/>
      <c r="Z6" s="80">
        <v>0.46810000000000002</v>
      </c>
      <c r="AA6" s="140">
        <v>0.44669999999999999</v>
      </c>
      <c r="AB6" s="294"/>
      <c r="AC6" s="52"/>
    </row>
    <row r="7" spans="1:29" ht="17" thickBot="1" x14ac:dyDescent="0.25">
      <c r="A7" s="73">
        <v>10</v>
      </c>
      <c r="B7" s="59" t="s">
        <v>3</v>
      </c>
      <c r="C7" s="296"/>
      <c r="D7" s="327"/>
      <c r="E7" s="56"/>
      <c r="F7" s="297"/>
      <c r="G7" s="56"/>
      <c r="H7" s="297"/>
      <c r="I7" s="56"/>
      <c r="J7" s="297"/>
      <c r="K7" s="296"/>
      <c r="L7" s="57"/>
      <c r="M7" s="297"/>
      <c r="N7" s="57"/>
      <c r="O7" s="297"/>
      <c r="P7" s="56"/>
      <c r="Q7" s="56"/>
      <c r="R7" s="56"/>
      <c r="S7" s="56"/>
      <c r="T7" s="56"/>
      <c r="U7" s="56"/>
      <c r="V7" s="56"/>
      <c r="W7" s="56"/>
      <c r="X7" s="67"/>
      <c r="Y7" s="67"/>
      <c r="Z7" s="65"/>
      <c r="AA7" s="144"/>
      <c r="AB7" s="294"/>
      <c r="AC7" s="52"/>
    </row>
    <row r="8" spans="1:29" ht="17" thickBot="1" x14ac:dyDescent="0.25">
      <c r="A8" s="81">
        <v>19</v>
      </c>
      <c r="B8" s="45" t="s">
        <v>4</v>
      </c>
      <c r="C8" s="298"/>
      <c r="D8" s="328"/>
      <c r="E8" s="52"/>
      <c r="F8" s="299"/>
      <c r="G8" s="52"/>
      <c r="H8" s="299"/>
      <c r="I8" s="52"/>
      <c r="J8" s="299"/>
      <c r="K8" s="298"/>
      <c r="L8" s="54"/>
      <c r="M8" s="299"/>
      <c r="N8" s="54"/>
      <c r="O8" s="299"/>
      <c r="P8" s="52"/>
      <c r="Q8" s="52"/>
      <c r="R8" s="52"/>
      <c r="S8" s="52"/>
      <c r="T8" s="52"/>
      <c r="U8" s="52"/>
      <c r="V8" s="52"/>
      <c r="W8" s="52"/>
      <c r="X8" s="84"/>
      <c r="Y8" s="84"/>
      <c r="Z8" s="80"/>
      <c r="AA8" s="141"/>
      <c r="AB8" s="294"/>
      <c r="AC8" s="52"/>
    </row>
    <row r="9" spans="1:29" ht="17" thickBot="1" x14ac:dyDescent="0.25">
      <c r="A9" s="73">
        <v>20</v>
      </c>
      <c r="B9" s="45" t="s">
        <v>36</v>
      </c>
      <c r="C9" s="295">
        <v>400</v>
      </c>
      <c r="D9" s="324">
        <v>364</v>
      </c>
      <c r="E9" s="52">
        <f t="shared" ref="E9:E26" si="1">(D9-C9)/C9</f>
        <v>-0.09</v>
      </c>
      <c r="F9" s="289">
        <v>266</v>
      </c>
      <c r="G9" s="52">
        <f t="shared" ref="G9:G26" si="2">(D9-F9)/F9</f>
        <v>0.36842105263157893</v>
      </c>
      <c r="H9" s="300">
        <v>172</v>
      </c>
      <c r="I9" s="52">
        <f t="shared" ref="I9:I26" si="3">(D9-H9)/H9</f>
        <v>1.1162790697674418</v>
      </c>
      <c r="J9" s="301">
        <f>VALUE(4080)</f>
        <v>4080</v>
      </c>
      <c r="K9" s="301">
        <v>3894</v>
      </c>
      <c r="L9" s="54">
        <f t="shared" ref="L9:L26" si="4">(J9-K9)/K9</f>
        <v>4.7765793528505393E-2</v>
      </c>
      <c r="M9" s="76">
        <v>3774</v>
      </c>
      <c r="N9" s="54">
        <f t="shared" ref="N9:N26" si="5">(J9-M9)/M9</f>
        <v>8.1081081081081086E-2</v>
      </c>
      <c r="O9" s="301">
        <v>3781</v>
      </c>
      <c r="P9" s="52">
        <f t="shared" ref="P9:P26" si="6">(J9-O9)/O9</f>
        <v>7.9079608569161602E-2</v>
      </c>
      <c r="Q9" s="52">
        <f t="shared" ref="Q9:Q26" si="7">(D9/J9)</f>
        <v>8.9215686274509806E-2</v>
      </c>
      <c r="R9" s="52">
        <f t="shared" ref="R9:R26" si="8">(C9/K9)</f>
        <v>0.1027221366204417</v>
      </c>
      <c r="S9" s="52">
        <f t="shared" ref="S9:S26" si="9">(Q9-R9)</f>
        <v>-1.3506450345931897E-2</v>
      </c>
      <c r="T9" s="52">
        <f t="shared" ref="T9:T26" si="10">(F9/M9)</f>
        <v>7.0482246952835184E-2</v>
      </c>
      <c r="U9" s="52">
        <f t="shared" ref="U9:U26" si="11">(Q9-T9)</f>
        <v>1.8733439321674622E-2</v>
      </c>
      <c r="V9" s="52">
        <f t="shared" ref="V9:V26" si="12">(H9/O9)</f>
        <v>4.5490610949484263E-2</v>
      </c>
      <c r="W9" s="52">
        <f t="shared" si="0"/>
        <v>4.3725075325025543E-2</v>
      </c>
      <c r="X9" s="87"/>
      <c r="Y9" s="72"/>
      <c r="Z9" s="331">
        <v>0.42370000000000002</v>
      </c>
      <c r="AA9" s="140">
        <v>0.3856</v>
      </c>
      <c r="AB9" s="294"/>
      <c r="AC9" s="357"/>
    </row>
    <row r="10" spans="1:29" ht="17" thickBot="1" x14ac:dyDescent="0.25">
      <c r="A10" s="73">
        <v>22</v>
      </c>
      <c r="B10" s="59" t="s">
        <v>37</v>
      </c>
      <c r="C10" s="291">
        <v>1150</v>
      </c>
      <c r="D10" s="326">
        <v>1134</v>
      </c>
      <c r="E10" s="56">
        <f t="shared" si="1"/>
        <v>-1.391304347826087E-2</v>
      </c>
      <c r="F10" s="293">
        <v>1144</v>
      </c>
      <c r="G10" s="56">
        <f t="shared" si="2"/>
        <v>-8.7412587412587419E-3</v>
      </c>
      <c r="H10" s="293">
        <v>1012</v>
      </c>
      <c r="I10" s="56">
        <f t="shared" si="3"/>
        <v>0.12055335968379446</v>
      </c>
      <c r="J10" s="292">
        <f>VALUE(8598)</f>
        <v>8598</v>
      </c>
      <c r="K10" s="292">
        <v>8547</v>
      </c>
      <c r="L10" s="57">
        <f t="shared" si="4"/>
        <v>5.9670059670059667E-3</v>
      </c>
      <c r="M10" s="83">
        <v>8489</v>
      </c>
      <c r="N10" s="57">
        <f t="shared" si="5"/>
        <v>1.2840146071386499E-2</v>
      </c>
      <c r="O10" s="294">
        <v>8206</v>
      </c>
      <c r="P10" s="56">
        <f t="shared" si="6"/>
        <v>4.7769924445527662E-2</v>
      </c>
      <c r="Q10" s="56">
        <f t="shared" si="7"/>
        <v>0.13189113747383113</v>
      </c>
      <c r="R10" s="56">
        <f t="shared" si="8"/>
        <v>0.13455013455013454</v>
      </c>
      <c r="S10" s="56">
        <f t="shared" si="9"/>
        <v>-2.6589970763034043E-3</v>
      </c>
      <c r="T10" s="56">
        <f t="shared" si="10"/>
        <v>0.13476263399693722</v>
      </c>
      <c r="U10" s="56">
        <f t="shared" si="11"/>
        <v>-2.8714965231060874E-3</v>
      </c>
      <c r="V10" s="56">
        <f t="shared" si="12"/>
        <v>0.12332439678284182</v>
      </c>
      <c r="W10" s="56">
        <f t="shared" si="0"/>
        <v>8.5667406909893107E-3</v>
      </c>
      <c r="X10" s="66">
        <v>0.10340000000000001</v>
      </c>
      <c r="Y10" s="66">
        <v>5.4600000000000003E-2</v>
      </c>
      <c r="Z10" s="65">
        <v>0.33329999999999999</v>
      </c>
      <c r="AA10" s="143">
        <v>0.25180000000000002</v>
      </c>
      <c r="AB10" s="294"/>
      <c r="AC10" s="357"/>
    </row>
    <row r="11" spans="1:29" ht="17" thickBot="1" x14ac:dyDescent="0.25">
      <c r="A11" s="73">
        <v>23</v>
      </c>
      <c r="B11" s="45" t="s">
        <v>38</v>
      </c>
      <c r="C11" s="295">
        <v>2718</v>
      </c>
      <c r="D11" s="324">
        <v>2736</v>
      </c>
      <c r="E11" s="52">
        <f t="shared" si="1"/>
        <v>6.6225165562913907E-3</v>
      </c>
      <c r="F11" s="302">
        <v>2352</v>
      </c>
      <c r="G11" s="52">
        <f t="shared" si="2"/>
        <v>0.16326530612244897</v>
      </c>
      <c r="H11" s="303">
        <v>2037</v>
      </c>
      <c r="I11" s="52">
        <f t="shared" si="3"/>
        <v>0.34315169366715759</v>
      </c>
      <c r="J11" s="294">
        <f>VALUE(23609)</f>
        <v>23609</v>
      </c>
      <c r="K11" s="294">
        <v>23357</v>
      </c>
      <c r="L11" s="54">
        <f t="shared" si="4"/>
        <v>1.0789056813803143E-2</v>
      </c>
      <c r="M11" s="51">
        <v>22092</v>
      </c>
      <c r="N11" s="54">
        <f t="shared" si="5"/>
        <v>6.8667390910736925E-2</v>
      </c>
      <c r="O11" s="294">
        <v>21178</v>
      </c>
      <c r="P11" s="52">
        <f t="shared" si="6"/>
        <v>0.11478893191047314</v>
      </c>
      <c r="Q11" s="52">
        <f t="shared" si="7"/>
        <v>0.11588800881019951</v>
      </c>
      <c r="R11" s="52">
        <f t="shared" si="8"/>
        <v>0.1163676842060196</v>
      </c>
      <c r="S11" s="52">
        <f t="shared" si="9"/>
        <v>-4.7967539582009777E-4</v>
      </c>
      <c r="T11" s="52">
        <f t="shared" si="10"/>
        <v>0.10646387832699619</v>
      </c>
      <c r="U11" s="52">
        <f t="shared" si="11"/>
        <v>9.4241304832033135E-3</v>
      </c>
      <c r="V11" s="52">
        <f t="shared" si="12"/>
        <v>9.6184719992444989E-2</v>
      </c>
      <c r="W11" s="52">
        <f t="shared" si="0"/>
        <v>1.9703288817754516E-2</v>
      </c>
      <c r="X11" s="332">
        <v>0.21940000000000001</v>
      </c>
      <c r="Y11" s="72">
        <v>0.1421</v>
      </c>
      <c r="Z11" s="80">
        <v>0.24260000000000001</v>
      </c>
      <c r="AA11" s="332">
        <f t="shared" ref="AA11" si="13">AVERAGE(W10:AA10)</f>
        <v>0.15033334813819788</v>
      </c>
      <c r="AB11" s="294"/>
      <c r="AC11" s="357"/>
    </row>
    <row r="12" spans="1:29" ht="17" thickBot="1" x14ac:dyDescent="0.25">
      <c r="A12" s="73">
        <v>27</v>
      </c>
      <c r="B12" s="45" t="s">
        <v>39</v>
      </c>
      <c r="C12" s="295">
        <v>372</v>
      </c>
      <c r="D12" s="324">
        <v>374</v>
      </c>
      <c r="E12" s="52">
        <f t="shared" si="1"/>
        <v>5.3763440860215058E-3</v>
      </c>
      <c r="F12" s="302">
        <v>368</v>
      </c>
      <c r="G12" s="52">
        <f t="shared" si="2"/>
        <v>1.6304347826086956E-2</v>
      </c>
      <c r="H12" s="303">
        <v>310</v>
      </c>
      <c r="I12" s="52">
        <f t="shared" si="3"/>
        <v>0.20645161290322581</v>
      </c>
      <c r="J12" s="294">
        <f>VALUE(4479)</f>
        <v>4479</v>
      </c>
      <c r="K12" s="294">
        <v>4468</v>
      </c>
      <c r="L12" s="54">
        <f t="shared" si="4"/>
        <v>2.4619516562220233E-3</v>
      </c>
      <c r="M12" s="78">
        <v>4640</v>
      </c>
      <c r="N12" s="54">
        <f t="shared" si="5"/>
        <v>-3.4698275862068965E-2</v>
      </c>
      <c r="O12" s="294">
        <v>4905</v>
      </c>
      <c r="P12" s="52">
        <f t="shared" si="6"/>
        <v>-8.6850152905198777E-2</v>
      </c>
      <c r="Q12" s="52">
        <f t="shared" si="7"/>
        <v>8.3500781424425088E-2</v>
      </c>
      <c r="R12" s="52">
        <f t="shared" si="8"/>
        <v>8.3258728737690246E-2</v>
      </c>
      <c r="S12" s="52">
        <f t="shared" si="9"/>
        <v>2.4205268673484215E-4</v>
      </c>
      <c r="T12" s="52">
        <f t="shared" si="10"/>
        <v>7.9310344827586213E-2</v>
      </c>
      <c r="U12" s="52">
        <f t="shared" si="11"/>
        <v>4.1904365968388757E-3</v>
      </c>
      <c r="V12" s="52">
        <f t="shared" si="12"/>
        <v>6.3200815494393478E-2</v>
      </c>
      <c r="W12" s="52">
        <f t="shared" si="0"/>
        <v>2.029996593003161E-2</v>
      </c>
      <c r="X12" s="333">
        <v>0.2727</v>
      </c>
      <c r="Y12" s="333">
        <v>0.22370000000000001</v>
      </c>
      <c r="Z12" s="334">
        <v>0.70589999999999997</v>
      </c>
      <c r="AA12" s="335">
        <v>0.47560000000000002</v>
      </c>
      <c r="AB12" s="294"/>
      <c r="AC12" s="357"/>
    </row>
    <row r="13" spans="1:29" ht="17" thickBot="1" x14ac:dyDescent="0.25">
      <c r="A13" s="73">
        <v>28</v>
      </c>
      <c r="B13" s="45" t="s">
        <v>40</v>
      </c>
      <c r="C13" s="295">
        <v>197</v>
      </c>
      <c r="D13" s="324">
        <v>190</v>
      </c>
      <c r="E13" s="52">
        <f t="shared" si="1"/>
        <v>-3.553299492385787E-2</v>
      </c>
      <c r="F13" s="302">
        <v>208</v>
      </c>
      <c r="G13" s="52">
        <f t="shared" si="2"/>
        <v>-8.6538461538461536E-2</v>
      </c>
      <c r="H13" s="303">
        <v>179</v>
      </c>
      <c r="I13" s="52">
        <f t="shared" si="3"/>
        <v>6.1452513966480445E-2</v>
      </c>
      <c r="J13" s="294">
        <f>VALUE(2878)</f>
        <v>2878</v>
      </c>
      <c r="K13" s="294">
        <v>2948</v>
      </c>
      <c r="L13" s="54">
        <f t="shared" si="4"/>
        <v>-2.3744911804613297E-2</v>
      </c>
      <c r="M13" s="93">
        <v>3062</v>
      </c>
      <c r="N13" s="54">
        <f t="shared" si="5"/>
        <v>-6.0091443500979752E-2</v>
      </c>
      <c r="O13" s="294">
        <v>3258</v>
      </c>
      <c r="P13" s="52">
        <f t="shared" si="6"/>
        <v>-0.11663597298956414</v>
      </c>
      <c r="Q13" s="52">
        <f t="shared" si="7"/>
        <v>6.6018068102849201E-2</v>
      </c>
      <c r="R13" s="52">
        <f t="shared" si="8"/>
        <v>6.6824966078697423E-2</v>
      </c>
      <c r="S13" s="52">
        <f t="shared" si="9"/>
        <v>-8.0689797584822254E-4</v>
      </c>
      <c r="T13" s="52">
        <f t="shared" si="10"/>
        <v>6.7929457870672769E-2</v>
      </c>
      <c r="U13" s="52">
        <f t="shared" si="11"/>
        <v>-1.9113897678235681E-3</v>
      </c>
      <c r="V13" s="52">
        <f t="shared" si="12"/>
        <v>5.4941682013505216E-2</v>
      </c>
      <c r="W13" s="52">
        <f t="shared" si="0"/>
        <v>1.1076386089343984E-2</v>
      </c>
      <c r="X13" s="333">
        <v>0.1333</v>
      </c>
      <c r="Y13" s="333">
        <v>0.2208</v>
      </c>
      <c r="Z13" s="336">
        <v>0.88890000000000002</v>
      </c>
      <c r="AA13" s="337">
        <v>0.45900000000000002</v>
      </c>
      <c r="AB13" s="294"/>
      <c r="AC13" s="357"/>
    </row>
    <row r="14" spans="1:29" ht="17" thickBot="1" x14ac:dyDescent="0.25">
      <c r="A14" s="73">
        <v>33</v>
      </c>
      <c r="B14" s="45" t="s">
        <v>41</v>
      </c>
      <c r="C14" s="295">
        <v>719</v>
      </c>
      <c r="D14" s="324">
        <v>731</v>
      </c>
      <c r="E14" s="52">
        <f t="shared" si="1"/>
        <v>1.6689847009735744E-2</v>
      </c>
      <c r="F14" s="302">
        <v>616</v>
      </c>
      <c r="G14" s="52">
        <f t="shared" si="2"/>
        <v>0.18668831168831168</v>
      </c>
      <c r="H14" s="303">
        <v>455</v>
      </c>
      <c r="I14" s="52">
        <f t="shared" si="3"/>
        <v>0.60659340659340655</v>
      </c>
      <c r="J14" s="294">
        <f>VALUE(13920)</f>
        <v>13920</v>
      </c>
      <c r="K14" s="294">
        <v>13581</v>
      </c>
      <c r="L14" s="54">
        <f t="shared" si="4"/>
        <v>2.4961343052794346E-2</v>
      </c>
      <c r="M14" s="93">
        <v>13464</v>
      </c>
      <c r="N14" s="54">
        <f t="shared" si="5"/>
        <v>3.3868092691622102E-2</v>
      </c>
      <c r="O14" s="294">
        <v>11812</v>
      </c>
      <c r="P14" s="52">
        <f t="shared" si="6"/>
        <v>0.17846258042668472</v>
      </c>
      <c r="Q14" s="52">
        <f t="shared" si="7"/>
        <v>5.2514367816091957E-2</v>
      </c>
      <c r="R14" s="52">
        <f t="shared" si="8"/>
        <v>5.2941609601649363E-2</v>
      </c>
      <c r="S14" s="52">
        <f t="shared" si="9"/>
        <v>-4.2724178555740566E-4</v>
      </c>
      <c r="T14" s="52">
        <f t="shared" si="10"/>
        <v>4.5751633986928102E-2</v>
      </c>
      <c r="U14" s="52">
        <f t="shared" si="11"/>
        <v>6.7627338291638556E-3</v>
      </c>
      <c r="V14" s="52">
        <f t="shared" si="12"/>
        <v>3.8520149001015913E-2</v>
      </c>
      <c r="W14" s="52">
        <f t="shared" si="0"/>
        <v>1.3994218815076044E-2</v>
      </c>
      <c r="X14" s="333"/>
      <c r="Y14" s="333"/>
      <c r="Z14" s="336">
        <v>0.36359999999999998</v>
      </c>
      <c r="AA14" s="337">
        <v>0.33750000000000002</v>
      </c>
      <c r="AB14" s="294"/>
      <c r="AC14" s="357"/>
    </row>
    <row r="15" spans="1:29" ht="17" thickBot="1" x14ac:dyDescent="0.25">
      <c r="A15" s="73">
        <v>34</v>
      </c>
      <c r="B15" s="45" t="s">
        <v>42</v>
      </c>
      <c r="C15" s="295">
        <v>1229</v>
      </c>
      <c r="D15" s="324">
        <v>1167</v>
      </c>
      <c r="E15" s="52">
        <f t="shared" si="1"/>
        <v>-5.0447518307567128E-2</v>
      </c>
      <c r="F15" s="302">
        <v>1340</v>
      </c>
      <c r="G15" s="52">
        <f t="shared" si="2"/>
        <v>-0.1291044776119403</v>
      </c>
      <c r="H15" s="303">
        <v>1202</v>
      </c>
      <c r="I15" s="52">
        <f t="shared" si="3"/>
        <v>-2.9118136439267885E-2</v>
      </c>
      <c r="J15" s="294">
        <f>VALUE(18965)</f>
        <v>18965</v>
      </c>
      <c r="K15" s="294">
        <v>19556</v>
      </c>
      <c r="L15" s="54">
        <f t="shared" si="4"/>
        <v>-3.0220904070362039E-2</v>
      </c>
      <c r="M15" s="93">
        <v>19500</v>
      </c>
      <c r="N15" s="54">
        <f t="shared" si="5"/>
        <v>-2.7435897435897437E-2</v>
      </c>
      <c r="O15" s="294">
        <v>18466</v>
      </c>
      <c r="P15" s="52">
        <f t="shared" si="6"/>
        <v>2.7022636196252572E-2</v>
      </c>
      <c r="Q15" s="163">
        <f t="shared" si="7"/>
        <v>6.1534405483785921E-2</v>
      </c>
      <c r="R15" s="52">
        <f t="shared" si="8"/>
        <v>6.2845162609940677E-2</v>
      </c>
      <c r="S15" s="52">
        <f t="shared" si="9"/>
        <v>-1.310757126154756E-3</v>
      </c>
      <c r="T15" s="52">
        <f t="shared" si="10"/>
        <v>6.8717948717948715E-2</v>
      </c>
      <c r="U15" s="52">
        <f t="shared" si="11"/>
        <v>-7.1835432341627939E-3</v>
      </c>
      <c r="V15" s="52">
        <f t="shared" si="12"/>
        <v>6.5092602621033252E-2</v>
      </c>
      <c r="W15" s="52">
        <f t="shared" si="0"/>
        <v>-3.5581971372473306E-3</v>
      </c>
      <c r="X15" s="338">
        <v>0.32690000000000002</v>
      </c>
      <c r="Y15" s="338">
        <v>0.31030000000000002</v>
      </c>
      <c r="Z15" s="336">
        <v>7.0599999999999996E-2</v>
      </c>
      <c r="AA15" s="337">
        <v>0.16520000000000001</v>
      </c>
      <c r="AB15" s="294"/>
      <c r="AC15" s="357"/>
    </row>
    <row r="16" spans="1:29" ht="17" thickBot="1" x14ac:dyDescent="0.25">
      <c r="A16" s="73">
        <v>35</v>
      </c>
      <c r="B16" s="45" t="s">
        <v>43</v>
      </c>
      <c r="C16" s="295">
        <v>1421</v>
      </c>
      <c r="D16" s="324">
        <v>1398</v>
      </c>
      <c r="E16" s="52">
        <f t="shared" si="1"/>
        <v>-1.6185784658691062E-2</v>
      </c>
      <c r="F16" s="302">
        <v>1542</v>
      </c>
      <c r="G16" s="52">
        <f t="shared" si="2"/>
        <v>-9.3385214007782102E-2</v>
      </c>
      <c r="H16" s="303">
        <v>1379</v>
      </c>
      <c r="I16" s="52">
        <f t="shared" si="3"/>
        <v>1.3778100072516316E-2</v>
      </c>
      <c r="J16" s="294">
        <f>VALUE(22309)</f>
        <v>22309</v>
      </c>
      <c r="K16" s="294">
        <v>22194</v>
      </c>
      <c r="L16" s="54">
        <f t="shared" si="4"/>
        <v>5.1815806073713614E-3</v>
      </c>
      <c r="M16" s="93">
        <v>21586</v>
      </c>
      <c r="N16" s="54">
        <f t="shared" si="5"/>
        <v>3.349393125173724E-2</v>
      </c>
      <c r="O16" s="294">
        <v>18541</v>
      </c>
      <c r="P16" s="52">
        <f t="shared" si="6"/>
        <v>0.20322528450461141</v>
      </c>
      <c r="Q16" s="163">
        <f t="shared" si="7"/>
        <v>6.2665292034604872E-2</v>
      </c>
      <c r="R16" s="52">
        <f t="shared" si="8"/>
        <v>6.4026313418040909E-2</v>
      </c>
      <c r="S16" s="52">
        <f t="shared" si="9"/>
        <v>-1.3610213834360368E-3</v>
      </c>
      <c r="T16" s="52">
        <f t="shared" si="10"/>
        <v>7.1435189474659502E-2</v>
      </c>
      <c r="U16" s="52">
        <f t="shared" si="11"/>
        <v>-8.7698974400546303E-3</v>
      </c>
      <c r="V16" s="52">
        <f t="shared" si="12"/>
        <v>7.4375707890620785E-2</v>
      </c>
      <c r="W16" s="52">
        <f t="shared" si="0"/>
        <v>-1.1710415856015913E-2</v>
      </c>
      <c r="X16" s="338">
        <v>0.10589999999999999</v>
      </c>
      <c r="Y16" s="338">
        <v>0.11219999999999999</v>
      </c>
      <c r="Z16" s="336">
        <v>0.43369999999999997</v>
      </c>
      <c r="AA16" s="337">
        <v>0.49170000000000003</v>
      </c>
      <c r="AB16" s="304"/>
      <c r="AC16" s="357"/>
    </row>
    <row r="17" spans="1:29" ht="17" thickBot="1" x14ac:dyDescent="0.25">
      <c r="A17" s="73">
        <v>36</v>
      </c>
      <c r="B17" s="45" t="s">
        <v>44</v>
      </c>
      <c r="C17" s="295">
        <v>3099</v>
      </c>
      <c r="D17" s="324">
        <v>3052</v>
      </c>
      <c r="E17" s="52">
        <f t="shared" si="1"/>
        <v>-1.5166182639561149E-2</v>
      </c>
      <c r="F17" s="302">
        <v>3362</v>
      </c>
      <c r="G17" s="52">
        <f t="shared" si="2"/>
        <v>-9.2207019631171921E-2</v>
      </c>
      <c r="H17" s="303">
        <v>3112</v>
      </c>
      <c r="I17" s="52">
        <f t="shared" si="3"/>
        <v>-1.9280205655526992E-2</v>
      </c>
      <c r="J17" s="294">
        <f>VALUE(72997)</f>
        <v>72997</v>
      </c>
      <c r="K17" s="294">
        <v>75696</v>
      </c>
      <c r="L17" s="54">
        <f t="shared" si="4"/>
        <v>-3.5655781018812088E-2</v>
      </c>
      <c r="M17" s="75">
        <v>71838</v>
      </c>
      <c r="N17" s="54">
        <f t="shared" si="5"/>
        <v>1.6133522648180628E-2</v>
      </c>
      <c r="O17" s="294">
        <v>66290</v>
      </c>
      <c r="P17" s="52">
        <f t="shared" si="6"/>
        <v>0.10117664806154775</v>
      </c>
      <c r="Q17" s="163">
        <f t="shared" si="7"/>
        <v>4.1809937394687455E-2</v>
      </c>
      <c r="R17" s="52">
        <f t="shared" si="8"/>
        <v>4.094007609384908E-2</v>
      </c>
      <c r="S17" s="52">
        <f t="shared" si="9"/>
        <v>8.698613008383746E-4</v>
      </c>
      <c r="T17" s="52">
        <f t="shared" si="10"/>
        <v>4.6799743868147774E-2</v>
      </c>
      <c r="U17" s="52">
        <f t="shared" si="11"/>
        <v>-4.989806473460319E-3</v>
      </c>
      <c r="V17" s="52">
        <f t="shared" si="12"/>
        <v>4.6945240609443356E-2</v>
      </c>
      <c r="W17" s="52">
        <f t="shared" si="0"/>
        <v>-5.1353032147559013E-3</v>
      </c>
      <c r="X17" s="338">
        <v>0.32379999999999998</v>
      </c>
      <c r="Y17" s="338">
        <v>0.22509999999999999</v>
      </c>
      <c r="Z17" s="336">
        <v>0.34439999999999998</v>
      </c>
      <c r="AA17" s="339">
        <v>0.33489999999999998</v>
      </c>
      <c r="AB17" s="294"/>
      <c r="AC17" s="357"/>
    </row>
    <row r="18" spans="1:29" ht="17" thickBot="1" x14ac:dyDescent="0.25">
      <c r="A18" s="73">
        <v>37</v>
      </c>
      <c r="B18" s="45" t="s">
        <v>45</v>
      </c>
      <c r="C18" s="295">
        <v>1897</v>
      </c>
      <c r="D18" s="324">
        <v>1895</v>
      </c>
      <c r="E18" s="52">
        <f t="shared" si="1"/>
        <v>-1.0542962572482868E-3</v>
      </c>
      <c r="F18" s="302">
        <v>2034</v>
      </c>
      <c r="G18" s="52">
        <f t="shared" si="2"/>
        <v>-6.8338249754178959E-2</v>
      </c>
      <c r="H18" s="303">
        <v>1974</v>
      </c>
      <c r="I18" s="52">
        <f t="shared" si="3"/>
        <v>-4.0020263424518747E-2</v>
      </c>
      <c r="J18" s="294">
        <f>VALUE(15990)</f>
        <v>15990</v>
      </c>
      <c r="K18" s="294">
        <v>16255</v>
      </c>
      <c r="L18" s="54">
        <f t="shared" si="4"/>
        <v>-1.6302676099661642E-2</v>
      </c>
      <c r="M18" s="83">
        <v>16414</v>
      </c>
      <c r="N18" s="54">
        <f t="shared" si="5"/>
        <v>-2.5831607164615571E-2</v>
      </c>
      <c r="O18" s="294">
        <v>15864</v>
      </c>
      <c r="P18" s="52">
        <f t="shared" si="6"/>
        <v>7.9425113464447802E-3</v>
      </c>
      <c r="Q18" s="163">
        <f t="shared" si="7"/>
        <v>0.11851156973108193</v>
      </c>
      <c r="R18" s="52">
        <f t="shared" si="8"/>
        <v>0.11670255306059674</v>
      </c>
      <c r="S18" s="52">
        <f t="shared" si="9"/>
        <v>1.8090166704851918E-3</v>
      </c>
      <c r="T18" s="52">
        <f t="shared" si="10"/>
        <v>0.12391860606799074</v>
      </c>
      <c r="U18" s="52">
        <f t="shared" si="11"/>
        <v>-5.4070363369088104E-3</v>
      </c>
      <c r="V18" s="52">
        <f t="shared" si="12"/>
        <v>0.12443267776096822</v>
      </c>
      <c r="W18" s="52">
        <f t="shared" si="0"/>
        <v>-5.9211080298862961E-3</v>
      </c>
      <c r="X18" s="333">
        <v>0.21210000000000001</v>
      </c>
      <c r="Y18" s="333">
        <v>0.17130000000000001</v>
      </c>
      <c r="Z18" s="336">
        <v>0.3478</v>
      </c>
      <c r="AA18" s="337">
        <v>0.3987</v>
      </c>
      <c r="AB18" s="305"/>
      <c r="AC18" s="357"/>
    </row>
    <row r="19" spans="1:29" ht="17" thickBot="1" x14ac:dyDescent="0.25">
      <c r="A19" s="73">
        <v>38</v>
      </c>
      <c r="B19" s="45" t="s">
        <v>46</v>
      </c>
      <c r="C19" s="295">
        <v>2347</v>
      </c>
      <c r="D19" s="324">
        <v>2371</v>
      </c>
      <c r="E19" s="52">
        <f t="shared" si="1"/>
        <v>1.0225820195994887E-2</v>
      </c>
      <c r="F19" s="302">
        <v>2248</v>
      </c>
      <c r="G19" s="52">
        <f t="shared" si="2"/>
        <v>5.47153024911032E-2</v>
      </c>
      <c r="H19" s="303">
        <v>2234</v>
      </c>
      <c r="I19" s="52">
        <f t="shared" si="3"/>
        <v>6.132497761862131E-2</v>
      </c>
      <c r="J19" s="294">
        <f>VALUE(20484)</f>
        <v>20484</v>
      </c>
      <c r="K19" s="294">
        <v>20676</v>
      </c>
      <c r="L19" s="54">
        <f t="shared" si="4"/>
        <v>-9.286128845037725E-3</v>
      </c>
      <c r="M19" s="109">
        <v>20845</v>
      </c>
      <c r="N19" s="54">
        <f t="shared" si="5"/>
        <v>-1.7318301751019428E-2</v>
      </c>
      <c r="O19" s="356"/>
      <c r="P19" s="52" t="e">
        <f t="shared" si="6"/>
        <v>#DIV/0!</v>
      </c>
      <c r="Q19" s="163">
        <f t="shared" si="7"/>
        <v>0.11574887717242727</v>
      </c>
      <c r="R19" s="52">
        <f t="shared" si="8"/>
        <v>0.11351325207970595</v>
      </c>
      <c r="S19" s="52">
        <f t="shared" si="9"/>
        <v>2.2356250927213217E-3</v>
      </c>
      <c r="T19" s="52">
        <f t="shared" si="10"/>
        <v>0.10784360757975534</v>
      </c>
      <c r="U19" s="52">
        <f t="shared" si="11"/>
        <v>7.9052695926719319E-3</v>
      </c>
      <c r="V19" s="52" t="e">
        <f t="shared" si="12"/>
        <v>#DIV/0!</v>
      </c>
      <c r="W19" s="52" t="e">
        <f t="shared" si="0"/>
        <v>#DIV/0!</v>
      </c>
      <c r="X19" s="338">
        <v>0.16769999999999999</v>
      </c>
      <c r="Y19" s="338">
        <v>0.1454</v>
      </c>
      <c r="Z19" s="336">
        <v>0.3448</v>
      </c>
      <c r="AA19" s="337">
        <v>0.32519999999999999</v>
      </c>
      <c r="AB19" s="294"/>
      <c r="AC19" s="357"/>
    </row>
    <row r="20" spans="1:29" ht="17" thickBot="1" x14ac:dyDescent="0.25">
      <c r="A20" s="73">
        <v>39</v>
      </c>
      <c r="B20" s="45" t="s">
        <v>47</v>
      </c>
      <c r="C20" s="295">
        <v>5054</v>
      </c>
      <c r="D20" s="324">
        <v>4860</v>
      </c>
      <c r="E20" s="52">
        <f t="shared" si="1"/>
        <v>-3.8385437277404039E-2</v>
      </c>
      <c r="F20" s="302">
        <v>5354</v>
      </c>
      <c r="G20" s="52">
        <f t="shared" si="2"/>
        <v>-9.2267463578632802E-2</v>
      </c>
      <c r="H20" s="303">
        <v>4788</v>
      </c>
      <c r="I20" s="52">
        <f t="shared" si="3"/>
        <v>1.5037593984962405E-2</v>
      </c>
      <c r="J20" s="294">
        <f>VALUE(48220)</f>
        <v>48220</v>
      </c>
      <c r="K20" s="294">
        <v>51105</v>
      </c>
      <c r="L20" s="54">
        <f t="shared" si="4"/>
        <v>-5.6452401917620583E-2</v>
      </c>
      <c r="M20" s="109">
        <v>52247</v>
      </c>
      <c r="N20" s="54">
        <f t="shared" si="5"/>
        <v>-7.7076195762436114E-2</v>
      </c>
      <c r="O20" s="294">
        <v>52610</v>
      </c>
      <c r="P20" s="52">
        <f t="shared" si="6"/>
        <v>-8.3444212126972062E-2</v>
      </c>
      <c r="Q20" s="163">
        <f t="shared" si="7"/>
        <v>0.10078805474906678</v>
      </c>
      <c r="R20" s="52">
        <f t="shared" si="8"/>
        <v>9.88944330300362E-2</v>
      </c>
      <c r="S20" s="52">
        <f t="shared" si="9"/>
        <v>1.8936217190305832E-3</v>
      </c>
      <c r="T20" s="52">
        <f t="shared" si="10"/>
        <v>0.10247478324114304</v>
      </c>
      <c r="U20" s="52">
        <f t="shared" si="11"/>
        <v>-1.6867284920762532E-3</v>
      </c>
      <c r="V20" s="52">
        <f t="shared" si="12"/>
        <v>9.1009313818665658E-2</v>
      </c>
      <c r="W20" s="52">
        <f t="shared" si="0"/>
        <v>9.7787409304011252E-3</v>
      </c>
      <c r="X20" s="338">
        <v>0.16600000000000001</v>
      </c>
      <c r="Y20" s="338">
        <v>0.16550000000000001</v>
      </c>
      <c r="Z20" s="336">
        <v>0.46529999999999999</v>
      </c>
      <c r="AA20" s="337">
        <v>0.47599999999999998</v>
      </c>
      <c r="AB20" s="294"/>
      <c r="AC20" s="357"/>
    </row>
    <row r="21" spans="1:29" ht="17" thickBot="1" x14ac:dyDescent="0.25">
      <c r="A21" s="73">
        <v>40</v>
      </c>
      <c r="B21" s="45" t="s">
        <v>48</v>
      </c>
      <c r="C21" s="295">
        <v>1025</v>
      </c>
      <c r="D21" s="324">
        <v>966</v>
      </c>
      <c r="E21" s="52">
        <f t="shared" si="1"/>
        <v>-5.75609756097561E-2</v>
      </c>
      <c r="F21" s="302">
        <v>993</v>
      </c>
      <c r="G21" s="52">
        <f t="shared" si="2"/>
        <v>-2.7190332326283987E-2</v>
      </c>
      <c r="H21" s="303">
        <v>923</v>
      </c>
      <c r="I21" s="52">
        <f t="shared" si="3"/>
        <v>4.6587215601300108E-2</v>
      </c>
      <c r="J21" s="294">
        <f>VALUE(6573)</f>
        <v>6573</v>
      </c>
      <c r="K21" s="294">
        <v>7778</v>
      </c>
      <c r="L21" s="54">
        <f t="shared" si="4"/>
        <v>-0.15492414502442786</v>
      </c>
      <c r="M21" s="109">
        <v>7634</v>
      </c>
      <c r="N21" s="54">
        <f t="shared" si="5"/>
        <v>-0.13898349489127587</v>
      </c>
      <c r="O21" s="294">
        <v>5823</v>
      </c>
      <c r="P21" s="52">
        <f t="shared" si="6"/>
        <v>0.1287995878413189</v>
      </c>
      <c r="Q21" s="163">
        <f t="shared" si="7"/>
        <v>0.14696485623003194</v>
      </c>
      <c r="R21" s="52">
        <f t="shared" si="8"/>
        <v>0.13178194908716895</v>
      </c>
      <c r="S21" s="52">
        <f t="shared" si="9"/>
        <v>1.5182907142862995E-2</v>
      </c>
      <c r="T21" s="52">
        <f t="shared" si="10"/>
        <v>0.13007597589730155</v>
      </c>
      <c r="U21" s="52">
        <f t="shared" si="11"/>
        <v>1.6888880332730394E-2</v>
      </c>
      <c r="V21" s="52">
        <f t="shared" si="12"/>
        <v>0.15850935943671646</v>
      </c>
      <c r="W21" s="52">
        <f t="shared" si="0"/>
        <v>-1.1544503206684514E-2</v>
      </c>
      <c r="X21" s="338">
        <v>0.1143</v>
      </c>
      <c r="Y21" s="338">
        <v>0.16750000000000001</v>
      </c>
      <c r="Z21" s="336">
        <v>0.43269999999999997</v>
      </c>
      <c r="AA21" s="337">
        <v>0.37659999999999999</v>
      </c>
      <c r="AB21" s="294"/>
      <c r="AC21" s="357"/>
    </row>
    <row r="22" spans="1:29" ht="17" thickBot="1" x14ac:dyDescent="0.25">
      <c r="A22" s="73">
        <v>41</v>
      </c>
      <c r="B22" s="45" t="s">
        <v>49</v>
      </c>
      <c r="C22" s="295">
        <v>2196</v>
      </c>
      <c r="D22" s="324">
        <v>2203</v>
      </c>
      <c r="E22" s="52">
        <f t="shared" si="1"/>
        <v>3.1876138433515485E-3</v>
      </c>
      <c r="F22" s="302">
        <v>2272</v>
      </c>
      <c r="G22" s="52">
        <f t="shared" si="2"/>
        <v>-3.0369718309859156E-2</v>
      </c>
      <c r="H22" s="303">
        <v>1996</v>
      </c>
      <c r="I22" s="52">
        <f t="shared" si="3"/>
        <v>0.10370741482965933</v>
      </c>
      <c r="J22" s="304">
        <f>VALUE(24301)</f>
        <v>24301</v>
      </c>
      <c r="K22" s="304">
        <v>25107</v>
      </c>
      <c r="L22" s="54">
        <f t="shared" si="4"/>
        <v>-3.2102600868283745E-2</v>
      </c>
      <c r="M22" s="109">
        <v>25120</v>
      </c>
      <c r="N22" s="54">
        <f t="shared" si="5"/>
        <v>-3.2603503184713375E-2</v>
      </c>
      <c r="O22" s="304">
        <v>23827</v>
      </c>
      <c r="P22" s="52">
        <f t="shared" si="6"/>
        <v>1.9893398245687664E-2</v>
      </c>
      <c r="Q22" s="163">
        <f t="shared" si="7"/>
        <v>9.0654705567672106E-2</v>
      </c>
      <c r="R22" s="52">
        <f t="shared" si="8"/>
        <v>8.7465647030708568E-2</v>
      </c>
      <c r="S22" s="52">
        <f t="shared" si="9"/>
        <v>3.1890585369635377E-3</v>
      </c>
      <c r="T22" s="52">
        <f t="shared" si="10"/>
        <v>9.0445859872611459E-2</v>
      </c>
      <c r="U22" s="52">
        <f t="shared" si="11"/>
        <v>2.088456950606471E-4</v>
      </c>
      <c r="V22" s="52">
        <f t="shared" si="12"/>
        <v>8.3770512443866199E-2</v>
      </c>
      <c r="W22" s="52">
        <f t="shared" si="0"/>
        <v>6.8841931238059068E-3</v>
      </c>
      <c r="X22" s="338">
        <v>0.2727</v>
      </c>
      <c r="Y22" s="338">
        <v>0.24399999999999999</v>
      </c>
      <c r="Z22" s="336">
        <v>0.32700000000000001</v>
      </c>
      <c r="AA22" s="337">
        <v>0.44990000000000002</v>
      </c>
      <c r="AB22" s="294"/>
      <c r="AC22" s="357"/>
    </row>
    <row r="23" spans="1:29" ht="17" thickBot="1" x14ac:dyDescent="0.25">
      <c r="A23" s="81">
        <v>42</v>
      </c>
      <c r="B23" s="45" t="s">
        <v>50</v>
      </c>
      <c r="C23" s="295">
        <v>1638</v>
      </c>
      <c r="D23" s="324">
        <v>1650</v>
      </c>
      <c r="E23" s="52">
        <f t="shared" si="1"/>
        <v>7.326007326007326E-3</v>
      </c>
      <c r="F23" s="302">
        <v>1569</v>
      </c>
      <c r="G23" s="52">
        <f t="shared" si="2"/>
        <v>5.1625239005736137E-2</v>
      </c>
      <c r="H23" s="303">
        <v>1452</v>
      </c>
      <c r="I23" s="52">
        <f t="shared" si="3"/>
        <v>0.13636363636363635</v>
      </c>
      <c r="J23" s="294">
        <f>VALUE(15303)</f>
        <v>15303</v>
      </c>
      <c r="K23" s="294">
        <v>15200</v>
      </c>
      <c r="L23" s="54">
        <f t="shared" si="4"/>
        <v>6.7763157894736841E-3</v>
      </c>
      <c r="M23" s="109">
        <v>15036</v>
      </c>
      <c r="N23" s="54">
        <f t="shared" si="5"/>
        <v>1.7757382282521949E-2</v>
      </c>
      <c r="O23" s="294">
        <v>14313</v>
      </c>
      <c r="P23" s="52">
        <f t="shared" si="6"/>
        <v>6.9167889331377075E-2</v>
      </c>
      <c r="Q23" s="163">
        <f t="shared" si="7"/>
        <v>0.10782199568712017</v>
      </c>
      <c r="R23" s="52">
        <f t="shared" si="8"/>
        <v>0.10776315789473684</v>
      </c>
      <c r="S23" s="52">
        <f t="shared" si="9"/>
        <v>5.8837792383331644E-5</v>
      </c>
      <c r="T23" s="52">
        <f t="shared" si="10"/>
        <v>0.10434956105347166</v>
      </c>
      <c r="U23" s="52">
        <f t="shared" si="11"/>
        <v>3.4724346336485051E-3</v>
      </c>
      <c r="V23" s="52">
        <f t="shared" si="12"/>
        <v>0.10144623768601971</v>
      </c>
      <c r="W23" s="52">
        <f t="shared" si="0"/>
        <v>6.3757580011004622E-3</v>
      </c>
      <c r="X23" s="340">
        <v>0.1835</v>
      </c>
      <c r="Y23" s="340">
        <v>0.1613</v>
      </c>
      <c r="Z23" s="341">
        <v>0.59699999999999998</v>
      </c>
      <c r="AA23" s="342">
        <v>0.49930000000000002</v>
      </c>
      <c r="AB23" s="294"/>
      <c r="AC23" s="357"/>
    </row>
    <row r="24" spans="1:29" ht="17" thickBot="1" x14ac:dyDescent="0.25">
      <c r="A24" s="73">
        <v>43</v>
      </c>
      <c r="B24" s="45" t="s">
        <v>51</v>
      </c>
      <c r="C24" s="295">
        <v>3886</v>
      </c>
      <c r="D24" s="324">
        <v>3827</v>
      </c>
      <c r="E24" s="52">
        <f t="shared" si="1"/>
        <v>-1.5182707153885743E-2</v>
      </c>
      <c r="F24" s="302">
        <v>3960</v>
      </c>
      <c r="G24" s="52">
        <f t="shared" si="2"/>
        <v>-3.3585858585858587E-2</v>
      </c>
      <c r="H24" s="303">
        <v>3031</v>
      </c>
      <c r="I24" s="52">
        <f t="shared" si="3"/>
        <v>0.26261959749257668</v>
      </c>
      <c r="J24" s="305">
        <f>VALUE(30817)</f>
        <v>30817</v>
      </c>
      <c r="K24" s="305">
        <v>32759</v>
      </c>
      <c r="L24" s="54">
        <f t="shared" si="4"/>
        <v>-5.9281418846729141E-2</v>
      </c>
      <c r="M24" s="53">
        <v>33033</v>
      </c>
      <c r="N24" s="54">
        <f t="shared" si="5"/>
        <v>-6.7084430720794355E-2</v>
      </c>
      <c r="O24" s="305">
        <v>30415</v>
      </c>
      <c r="P24" s="52">
        <f t="shared" si="6"/>
        <v>1.3217162584251192E-2</v>
      </c>
      <c r="Q24" s="163">
        <f t="shared" si="7"/>
        <v>0.12418470324820716</v>
      </c>
      <c r="R24" s="52">
        <f t="shared" si="8"/>
        <v>0.11862388961812022</v>
      </c>
      <c r="S24" s="52">
        <f t="shared" si="9"/>
        <v>5.5608136300869387E-3</v>
      </c>
      <c r="T24" s="52">
        <f t="shared" si="10"/>
        <v>0.11988011988011989</v>
      </c>
      <c r="U24" s="52">
        <f t="shared" si="11"/>
        <v>4.3045833680872697E-3</v>
      </c>
      <c r="V24" s="52">
        <f t="shared" si="12"/>
        <v>9.9654775604142695E-2</v>
      </c>
      <c r="W24" s="52">
        <f t="shared" si="0"/>
        <v>2.4529927644064461E-2</v>
      </c>
      <c r="X24" s="338">
        <v>0.2</v>
      </c>
      <c r="Y24" s="338">
        <v>0.23400000000000001</v>
      </c>
      <c r="Z24" s="336">
        <v>0.30120000000000002</v>
      </c>
      <c r="AA24" s="337">
        <v>0.28470000000000001</v>
      </c>
      <c r="AB24" s="294"/>
      <c r="AC24" s="357"/>
    </row>
    <row r="25" spans="1:29" ht="17" thickBot="1" x14ac:dyDescent="0.25">
      <c r="A25" s="73">
        <v>44</v>
      </c>
      <c r="B25" s="45" t="s">
        <v>52</v>
      </c>
      <c r="C25" s="295">
        <v>2623</v>
      </c>
      <c r="D25" s="324">
        <v>2685</v>
      </c>
      <c r="E25" s="52">
        <f t="shared" si="1"/>
        <v>2.3637056805184901E-2</v>
      </c>
      <c r="F25" s="302">
        <v>2529</v>
      </c>
      <c r="G25" s="52">
        <f t="shared" si="2"/>
        <v>6.1684460260972719E-2</v>
      </c>
      <c r="H25" s="303">
        <v>2391</v>
      </c>
      <c r="I25" s="52">
        <f t="shared" si="3"/>
        <v>0.12296110414052698</v>
      </c>
      <c r="J25" s="294">
        <f>VALUE(15817)</f>
        <v>15817</v>
      </c>
      <c r="K25" s="294">
        <v>15817</v>
      </c>
      <c r="L25" s="54">
        <f t="shared" si="4"/>
        <v>0</v>
      </c>
      <c r="M25" s="53">
        <v>16017</v>
      </c>
      <c r="N25" s="54">
        <f t="shared" si="5"/>
        <v>-1.2486732846350752E-2</v>
      </c>
      <c r="O25" s="294">
        <v>15531</v>
      </c>
      <c r="P25" s="52">
        <f t="shared" si="6"/>
        <v>1.8414783336552699E-2</v>
      </c>
      <c r="Q25" s="163">
        <f t="shared" si="7"/>
        <v>0.1697540620850983</v>
      </c>
      <c r="R25" s="52">
        <f t="shared" si="8"/>
        <v>0.16583422899412026</v>
      </c>
      <c r="S25" s="52">
        <f t="shared" si="9"/>
        <v>3.9198330909780421E-3</v>
      </c>
      <c r="T25" s="52">
        <f t="shared" si="10"/>
        <v>0.15789473684210525</v>
      </c>
      <c r="U25" s="52">
        <f t="shared" si="11"/>
        <v>1.1859325242993046E-2</v>
      </c>
      <c r="V25" s="52">
        <f t="shared" si="12"/>
        <v>0.15395016418775354</v>
      </c>
      <c r="W25" s="52">
        <f t="shared" si="0"/>
        <v>1.5803897897344765E-2</v>
      </c>
      <c r="X25" s="340">
        <v>0.129</v>
      </c>
      <c r="Y25" s="340">
        <v>0.159</v>
      </c>
      <c r="Z25" s="336">
        <v>0.3261</v>
      </c>
      <c r="AA25" s="337">
        <v>0.37680000000000002</v>
      </c>
      <c r="AB25" s="294"/>
      <c r="AC25" s="357"/>
    </row>
    <row r="26" spans="1:29" ht="17" thickBot="1" x14ac:dyDescent="0.25">
      <c r="A26" s="73">
        <v>45</v>
      </c>
      <c r="B26" s="45" t="s">
        <v>53</v>
      </c>
      <c r="C26" s="295">
        <v>1046</v>
      </c>
      <c r="D26" s="324">
        <v>1022</v>
      </c>
      <c r="E26" s="52">
        <f t="shared" si="1"/>
        <v>-2.2944550669216062E-2</v>
      </c>
      <c r="F26" s="302">
        <v>1029</v>
      </c>
      <c r="G26" s="52">
        <f t="shared" si="2"/>
        <v>-6.8027210884353739E-3</v>
      </c>
      <c r="H26" s="303">
        <v>894</v>
      </c>
      <c r="I26" s="52">
        <f t="shared" si="3"/>
        <v>0.14317673378076062</v>
      </c>
      <c r="J26" s="294">
        <f>VALUE(7165)</f>
        <v>7165</v>
      </c>
      <c r="K26" s="294">
        <v>7133</v>
      </c>
      <c r="L26" s="54">
        <f t="shared" si="4"/>
        <v>4.4861909435020327E-3</v>
      </c>
      <c r="M26" s="53">
        <v>7293</v>
      </c>
      <c r="N26" s="54">
        <f t="shared" si="5"/>
        <v>-1.7551076374605786E-2</v>
      </c>
      <c r="O26" s="294">
        <v>7203</v>
      </c>
      <c r="P26" s="52">
        <f t="shared" si="6"/>
        <v>-5.2755796196029435E-3</v>
      </c>
      <c r="Q26" s="163">
        <f t="shared" si="7"/>
        <v>0.14263782274947662</v>
      </c>
      <c r="R26" s="52">
        <f t="shared" si="8"/>
        <v>0.14664236646572271</v>
      </c>
      <c r="S26" s="52">
        <f t="shared" si="9"/>
        <v>-4.0045437162460895E-3</v>
      </c>
      <c r="T26" s="52">
        <f t="shared" si="10"/>
        <v>0.14109419991772934</v>
      </c>
      <c r="U26" s="52">
        <f t="shared" si="11"/>
        <v>1.5436228317472767E-3</v>
      </c>
      <c r="V26" s="52">
        <f t="shared" si="12"/>
        <v>0.12411495210329029</v>
      </c>
      <c r="W26" s="52">
        <f t="shared" si="0"/>
        <v>1.8522870646186324E-2</v>
      </c>
      <c r="X26" s="338">
        <v>-1.2699999999999999E-2</v>
      </c>
      <c r="Y26" s="338">
        <v>4.9500000000000002E-2</v>
      </c>
      <c r="Z26" s="336">
        <v>0.32650000000000001</v>
      </c>
      <c r="AA26" s="337">
        <v>0.32640000000000002</v>
      </c>
      <c r="AB26" s="294"/>
      <c r="AC26" s="357"/>
    </row>
    <row r="27" spans="1:29" ht="17" thickBot="1" x14ac:dyDescent="0.25">
      <c r="A27" s="73">
        <v>46</v>
      </c>
      <c r="B27" s="45" t="s">
        <v>10</v>
      </c>
      <c r="C27" s="306"/>
      <c r="D27" s="155"/>
      <c r="E27" s="52"/>
      <c r="F27" s="299"/>
      <c r="G27" s="52"/>
      <c r="H27" s="299"/>
      <c r="I27" s="52"/>
      <c r="J27" s="299"/>
      <c r="K27" s="298"/>
      <c r="L27" s="54"/>
      <c r="M27" s="299"/>
      <c r="N27" s="54"/>
      <c r="O27" s="299"/>
      <c r="P27" s="52"/>
      <c r="Q27" s="52"/>
      <c r="R27" s="52"/>
      <c r="S27" s="52"/>
      <c r="T27" s="52"/>
      <c r="U27" s="52"/>
      <c r="V27" s="52"/>
      <c r="W27" s="52"/>
      <c r="X27" s="338"/>
      <c r="Y27" s="338"/>
      <c r="Z27" s="336"/>
      <c r="AA27" s="343"/>
      <c r="AB27" s="294"/>
      <c r="AC27" s="357"/>
    </row>
    <row r="28" spans="1:29" ht="18" thickBot="1" x14ac:dyDescent="0.25">
      <c r="A28" s="81">
        <v>47</v>
      </c>
      <c r="B28" s="45" t="s">
        <v>54</v>
      </c>
      <c r="C28" s="295">
        <v>194</v>
      </c>
      <c r="D28" s="324">
        <v>226</v>
      </c>
      <c r="E28" s="52">
        <f>(D28-C28)/C28</f>
        <v>0.16494845360824742</v>
      </c>
      <c r="F28" s="302">
        <v>141</v>
      </c>
      <c r="G28" s="52">
        <f>(D28-F28)/F28</f>
        <v>0.6028368794326241</v>
      </c>
      <c r="H28" s="302">
        <v>33</v>
      </c>
      <c r="I28" s="54" t="s">
        <v>85</v>
      </c>
      <c r="J28" s="294">
        <f>VALUE(3090)</f>
        <v>3090</v>
      </c>
      <c r="K28" s="294">
        <v>3143</v>
      </c>
      <c r="L28" s="54">
        <f>(J28-K28)/K28</f>
        <v>-1.6862869869551385E-2</v>
      </c>
      <c r="M28" s="53">
        <v>2096</v>
      </c>
      <c r="N28" s="54">
        <f>(J28-M28)/M28</f>
        <v>0.47423664122137404</v>
      </c>
      <c r="O28" s="294">
        <v>2036</v>
      </c>
      <c r="P28" s="52">
        <f>(J28-O28)/O28</f>
        <v>0.51768172888015718</v>
      </c>
      <c r="Q28" s="52">
        <f>(D28/J28)</f>
        <v>7.3139158576051785E-2</v>
      </c>
      <c r="R28" s="52">
        <f>(C28/K28)</f>
        <v>6.172446706967865E-2</v>
      </c>
      <c r="S28" s="52">
        <f>(Q28-R28)</f>
        <v>1.1414691506373136E-2</v>
      </c>
      <c r="T28" s="52">
        <f>(F28/M28)</f>
        <v>6.7270992366412208E-2</v>
      </c>
      <c r="U28" s="52">
        <f>(Q28-T28)</f>
        <v>5.8681662096395776E-3</v>
      </c>
      <c r="V28" s="52"/>
      <c r="W28" s="52"/>
      <c r="X28" s="344"/>
      <c r="Y28" s="344"/>
      <c r="Z28" s="334"/>
      <c r="AA28" s="335"/>
      <c r="AB28" s="294"/>
      <c r="AC28" s="357"/>
    </row>
    <row r="29" spans="1:29" ht="17" thickBot="1" x14ac:dyDescent="0.25">
      <c r="A29" s="81">
        <v>48</v>
      </c>
      <c r="B29" s="59" t="s">
        <v>55</v>
      </c>
      <c r="C29" s="291">
        <v>1069</v>
      </c>
      <c r="D29" s="326">
        <v>1079</v>
      </c>
      <c r="E29" s="56">
        <f>(D29-C29)/C29</f>
        <v>9.3545369504209538E-3</v>
      </c>
      <c r="F29" s="308">
        <v>927</v>
      </c>
      <c r="G29" s="56">
        <f>(D29-F29)/F29</f>
        <v>0.16396979503775622</v>
      </c>
      <c r="H29" s="309">
        <v>377</v>
      </c>
      <c r="I29" s="56">
        <f>(D29-H29)/H29</f>
        <v>1.8620689655172413</v>
      </c>
      <c r="J29" s="294">
        <f>VALUE(5263)</f>
        <v>5263</v>
      </c>
      <c r="K29" s="294">
        <v>5175</v>
      </c>
      <c r="L29" s="57">
        <f>(J29-K29)/K29</f>
        <v>1.7004830917874397E-2</v>
      </c>
      <c r="M29" s="53">
        <v>4919</v>
      </c>
      <c r="N29" s="57">
        <f>(J29-M29)/M29</f>
        <v>6.9932913193738566E-2</v>
      </c>
      <c r="O29" s="294">
        <v>4161</v>
      </c>
      <c r="P29" s="56">
        <f>(J29-O29)/O29</f>
        <v>0.26484018264840181</v>
      </c>
      <c r="Q29" s="56">
        <f>(D29/J29)</f>
        <v>0.20501615048451455</v>
      </c>
      <c r="R29" s="56">
        <f>(C29/K29)</f>
        <v>0.20657004830917874</v>
      </c>
      <c r="S29" s="56">
        <f>(Q29-R29)</f>
        <v>-1.5538978246641966E-3</v>
      </c>
      <c r="T29" s="56">
        <f>(F29/M29)</f>
        <v>0.18845293758894086</v>
      </c>
      <c r="U29" s="56">
        <f>(Q29-T29)</f>
        <v>1.6563212895573692E-2</v>
      </c>
      <c r="V29" s="56">
        <f>(H29/O29)</f>
        <v>9.0603220379716409E-2</v>
      </c>
      <c r="W29" s="56">
        <f t="shared" si="0"/>
        <v>0.11441293010479814</v>
      </c>
      <c r="X29" s="345"/>
      <c r="Y29" s="345"/>
      <c r="Z29" s="346">
        <v>0.43930000000000002</v>
      </c>
      <c r="AA29" s="347">
        <v>0.47699999999999998</v>
      </c>
      <c r="AB29" s="294"/>
      <c r="AC29" s="357"/>
    </row>
    <row r="30" spans="1:29" ht="17" thickBot="1" x14ac:dyDescent="0.25">
      <c r="A30" s="73">
        <v>49</v>
      </c>
      <c r="B30" s="45" t="s">
        <v>13</v>
      </c>
      <c r="C30" s="310"/>
      <c r="D30" s="329"/>
      <c r="E30" s="52"/>
      <c r="F30" s="299"/>
      <c r="G30" s="56"/>
      <c r="H30" s="299"/>
      <c r="I30" s="52"/>
      <c r="J30" s="299"/>
      <c r="K30" s="298"/>
      <c r="L30" s="54"/>
      <c r="M30" s="299"/>
      <c r="N30" s="54"/>
      <c r="O30" s="299"/>
      <c r="P30" s="52"/>
      <c r="Q30" s="52"/>
      <c r="R30" s="52"/>
      <c r="S30" s="52"/>
      <c r="T30" s="52"/>
      <c r="U30" s="52"/>
      <c r="V30" s="52"/>
      <c r="W30" s="52"/>
      <c r="X30" s="338"/>
      <c r="Y30" s="338"/>
      <c r="Z30" s="336"/>
      <c r="AA30" s="343"/>
      <c r="AB30" s="294"/>
      <c r="AC30" s="357"/>
    </row>
    <row r="31" spans="1:29" ht="18" thickBot="1" x14ac:dyDescent="0.25">
      <c r="A31" s="73">
        <v>50</v>
      </c>
      <c r="B31" s="45" t="s">
        <v>56</v>
      </c>
      <c r="C31" s="295">
        <v>0</v>
      </c>
      <c r="D31" s="324">
        <v>0</v>
      </c>
      <c r="E31" s="52" t="e">
        <f>(D31-C31)/C31</f>
        <v>#DIV/0!</v>
      </c>
      <c r="F31" s="302">
        <v>16</v>
      </c>
      <c r="G31" s="56">
        <f>(D31-F31)/F31</f>
        <v>-1</v>
      </c>
      <c r="H31" s="303">
        <v>33</v>
      </c>
      <c r="I31" s="52">
        <f>(D31-H31)/H31</f>
        <v>-1</v>
      </c>
      <c r="J31" s="288"/>
      <c r="K31" s="288">
        <v>444</v>
      </c>
      <c r="L31" s="54">
        <f>(J31-K31)/K31</f>
        <v>-1</v>
      </c>
      <c r="M31" s="53">
        <v>543</v>
      </c>
      <c r="N31" s="54">
        <f>(J31-M31)/M31</f>
        <v>-1</v>
      </c>
      <c r="O31" s="354" t="s">
        <v>110</v>
      </c>
      <c r="P31" s="52" t="e">
        <f>(J31-O31)/O31</f>
        <v>#VALUE!</v>
      </c>
      <c r="Q31" s="52" t="e">
        <f>(D31/J31)</f>
        <v>#DIV/0!</v>
      </c>
      <c r="R31" s="52">
        <f>(C31/K31)</f>
        <v>0</v>
      </c>
      <c r="S31" s="52" t="e">
        <f>(Q31-R31)</f>
        <v>#DIV/0!</v>
      </c>
      <c r="T31" s="52">
        <f>(F31/M31)</f>
        <v>2.9465930018416207E-2</v>
      </c>
      <c r="U31" s="52" t="e">
        <f>(Q31-T31)</f>
        <v>#DIV/0!</v>
      </c>
      <c r="V31" s="52" t="e">
        <f>(H31/O31)</f>
        <v>#VALUE!</v>
      </c>
      <c r="W31" s="52" t="e">
        <f t="shared" si="0"/>
        <v>#DIV/0!</v>
      </c>
      <c r="X31" s="344"/>
      <c r="Y31" s="348"/>
      <c r="Z31" s="334"/>
      <c r="AA31" s="335"/>
      <c r="AB31" s="294"/>
      <c r="AC31" s="357"/>
    </row>
    <row r="32" spans="1:29" ht="17" thickBot="1" x14ac:dyDescent="0.25">
      <c r="A32" s="73">
        <v>51</v>
      </c>
      <c r="B32" s="45" t="s">
        <v>5</v>
      </c>
      <c r="C32" s="306"/>
      <c r="D32" s="155"/>
      <c r="E32" s="52"/>
      <c r="F32" s="299"/>
      <c r="G32" s="52"/>
      <c r="H32" s="299"/>
      <c r="I32" s="52"/>
      <c r="J32" s="299"/>
      <c r="K32" s="298"/>
      <c r="L32" s="54"/>
      <c r="M32" s="299"/>
      <c r="N32" s="54"/>
      <c r="O32" s="299"/>
      <c r="P32" s="52"/>
      <c r="Q32" s="52"/>
      <c r="R32" s="52"/>
      <c r="S32" s="52"/>
      <c r="T32" s="52"/>
      <c r="U32" s="52"/>
      <c r="V32" s="52"/>
      <c r="W32" s="52"/>
      <c r="X32" s="338"/>
      <c r="Y32" s="338"/>
      <c r="Z32" s="336"/>
      <c r="AA32" s="343"/>
      <c r="AB32" s="294"/>
      <c r="AC32" s="357"/>
    </row>
    <row r="33" spans="1:29" ht="17" thickBot="1" x14ac:dyDescent="0.25">
      <c r="A33" s="73">
        <v>52</v>
      </c>
      <c r="B33" s="45" t="s">
        <v>57</v>
      </c>
      <c r="C33" s="295">
        <v>210</v>
      </c>
      <c r="D33" s="324">
        <v>205</v>
      </c>
      <c r="E33" s="52">
        <f t="shared" ref="E33:E50" si="14">(D33-C33)/C33</f>
        <v>-2.3809523809523808E-2</v>
      </c>
      <c r="F33" s="302">
        <v>211</v>
      </c>
      <c r="G33" s="52">
        <f>(D33-F33)/F33</f>
        <v>-2.843601895734597E-2</v>
      </c>
      <c r="H33" s="303">
        <v>162</v>
      </c>
      <c r="I33" s="52">
        <f>(D33-H33)/H33</f>
        <v>0.26543209876543211</v>
      </c>
      <c r="J33" s="294">
        <f>VALUE(1767)</f>
        <v>1767</v>
      </c>
      <c r="K33" s="294">
        <v>1832</v>
      </c>
      <c r="L33" s="54">
        <f t="shared" ref="L33:L50" si="15">(J33-K33)/K33</f>
        <v>-3.5480349344978165E-2</v>
      </c>
      <c r="M33" s="53">
        <v>1993</v>
      </c>
      <c r="N33" s="54">
        <f t="shared" ref="N33:N50" si="16">(J33-M33)/M33</f>
        <v>-0.11339688911189162</v>
      </c>
      <c r="O33" s="294">
        <v>2135</v>
      </c>
      <c r="P33" s="52">
        <f t="shared" ref="P33:P50" si="17">(J33-O33)/O33</f>
        <v>-0.17236533957845435</v>
      </c>
      <c r="Q33" s="52">
        <f t="shared" ref="Q33:Q50" si="18">(D33/J33)</f>
        <v>0.11601584606677985</v>
      </c>
      <c r="R33" s="52">
        <f t="shared" ref="R33:R50" si="19">(C33/K33)</f>
        <v>0.11462882096069869</v>
      </c>
      <c r="S33" s="52">
        <f t="shared" ref="S33:S50" si="20">(Q33-R33)</f>
        <v>1.3870251060811578E-3</v>
      </c>
      <c r="T33" s="52">
        <f>(F33/M33)</f>
        <v>0.1058705469141997</v>
      </c>
      <c r="U33" s="52">
        <f>(Q33-T33)</f>
        <v>1.0145299152580153E-2</v>
      </c>
      <c r="V33" s="52">
        <f>(H33/O33)</f>
        <v>7.5878220140515221E-2</v>
      </c>
      <c r="W33" s="52">
        <f t="shared" si="0"/>
        <v>4.0137625926264631E-2</v>
      </c>
      <c r="X33" s="349">
        <v>0.3478</v>
      </c>
      <c r="Y33" s="338">
        <v>0.26200000000000001</v>
      </c>
      <c r="Z33" s="350">
        <v>0.4667</v>
      </c>
      <c r="AA33" s="335">
        <v>0.3705</v>
      </c>
      <c r="AB33" s="294"/>
      <c r="AC33" s="357"/>
    </row>
    <row r="34" spans="1:29" ht="18" thickBot="1" x14ac:dyDescent="0.25">
      <c r="A34" s="73">
        <v>53</v>
      </c>
      <c r="B34" s="45" t="s">
        <v>6</v>
      </c>
      <c r="C34" s="295">
        <v>16</v>
      </c>
      <c r="D34" s="324"/>
      <c r="E34" s="52">
        <f t="shared" si="14"/>
        <v>-1</v>
      </c>
      <c r="F34" s="312">
        <v>25</v>
      </c>
      <c r="G34" s="52"/>
      <c r="H34" s="312" t="s">
        <v>110</v>
      </c>
      <c r="I34" s="52"/>
      <c r="J34" s="288">
        <f>VALUE(2262)</f>
        <v>2262</v>
      </c>
      <c r="K34" s="288">
        <v>2358</v>
      </c>
      <c r="L34" s="54">
        <f t="shared" si="15"/>
        <v>-4.0712468193384227E-2</v>
      </c>
      <c r="M34" s="118">
        <v>2339</v>
      </c>
      <c r="N34" s="54">
        <f t="shared" si="16"/>
        <v>-3.2920051303976058E-2</v>
      </c>
      <c r="O34" s="312">
        <v>2292</v>
      </c>
      <c r="P34" s="52">
        <f t="shared" si="17"/>
        <v>-1.3089005235602094E-2</v>
      </c>
      <c r="Q34" s="52">
        <f t="shared" si="18"/>
        <v>0</v>
      </c>
      <c r="R34" s="52">
        <f t="shared" si="19"/>
        <v>6.7854113655640372E-3</v>
      </c>
      <c r="S34" s="52">
        <f t="shared" si="20"/>
        <v>-6.7854113655640372E-3</v>
      </c>
      <c r="T34" s="52"/>
      <c r="U34" s="52"/>
      <c r="V34" s="52"/>
      <c r="W34" s="52"/>
      <c r="X34" s="338"/>
      <c r="Y34" s="338"/>
      <c r="Z34" s="336"/>
      <c r="AA34" s="343"/>
      <c r="AB34" s="294"/>
      <c r="AC34" s="357"/>
    </row>
    <row r="35" spans="1:29" ht="17" thickBot="1" x14ac:dyDescent="0.25">
      <c r="A35" s="73">
        <v>54</v>
      </c>
      <c r="B35" s="45" t="s">
        <v>58</v>
      </c>
      <c r="C35" s="295">
        <v>192</v>
      </c>
      <c r="D35" s="324">
        <v>172</v>
      </c>
      <c r="E35" s="52">
        <f t="shared" si="14"/>
        <v>-0.10416666666666667</v>
      </c>
      <c r="F35" s="109">
        <v>194</v>
      </c>
      <c r="G35" s="52">
        <f t="shared" ref="G35:G50" si="21">(D35-F35)/F35</f>
        <v>-0.1134020618556701</v>
      </c>
      <c r="H35" s="303">
        <v>164</v>
      </c>
      <c r="I35" s="52">
        <f t="shared" ref="I35:I50" si="22">(D35-H35)/H35</f>
        <v>4.878048780487805E-2</v>
      </c>
      <c r="J35" s="294">
        <f>VALUE(1854)</f>
        <v>1854</v>
      </c>
      <c r="K35" s="294">
        <v>1955</v>
      </c>
      <c r="L35" s="54">
        <f t="shared" si="15"/>
        <v>-5.1662404092071609E-2</v>
      </c>
      <c r="M35" s="53">
        <v>2011</v>
      </c>
      <c r="N35" s="54">
        <f t="shared" si="16"/>
        <v>-7.8070611636001985E-2</v>
      </c>
      <c r="O35" s="294">
        <v>2216</v>
      </c>
      <c r="P35" s="52">
        <f t="shared" si="17"/>
        <v>-0.16335740072202165</v>
      </c>
      <c r="Q35" s="52">
        <f t="shared" si="18"/>
        <v>9.2772384034519956E-2</v>
      </c>
      <c r="R35" s="52">
        <f t="shared" si="19"/>
        <v>9.8209718670076732E-2</v>
      </c>
      <c r="S35" s="52">
        <f t="shared" si="20"/>
        <v>-5.4373346355567759E-3</v>
      </c>
      <c r="T35" s="52">
        <f t="shared" ref="T35:T50" si="23">(F35/M35)</f>
        <v>9.6469418199900542E-2</v>
      </c>
      <c r="U35" s="52">
        <f t="shared" ref="U35:U50" si="24">(Q35-T35)</f>
        <v>-3.697034165380586E-3</v>
      </c>
      <c r="V35" s="52">
        <f t="shared" ref="V35:V50" si="25">(H35/O35)</f>
        <v>7.4007220216606495E-2</v>
      </c>
      <c r="W35" s="52">
        <f t="shared" si="0"/>
        <v>1.8765163817913461E-2</v>
      </c>
      <c r="X35" s="338">
        <v>0.1154</v>
      </c>
      <c r="Y35" s="338">
        <v>0.19700000000000001</v>
      </c>
      <c r="Z35" s="334"/>
      <c r="AA35" s="335"/>
      <c r="AB35" s="294"/>
      <c r="AC35" s="357"/>
    </row>
    <row r="36" spans="1:29" ht="17" thickBot="1" x14ac:dyDescent="0.25">
      <c r="A36" s="73">
        <v>57</v>
      </c>
      <c r="B36" s="45" t="s">
        <v>59</v>
      </c>
      <c r="C36" s="295">
        <v>1179</v>
      </c>
      <c r="D36" s="324">
        <v>1170</v>
      </c>
      <c r="E36" s="52">
        <f t="shared" si="14"/>
        <v>-7.6335877862595417E-3</v>
      </c>
      <c r="F36" s="76">
        <v>1069</v>
      </c>
      <c r="G36" s="52">
        <f t="shared" si="21"/>
        <v>9.4480823199251635E-2</v>
      </c>
      <c r="H36" s="303">
        <v>822</v>
      </c>
      <c r="I36" s="52">
        <f t="shared" si="22"/>
        <v>0.42335766423357662</v>
      </c>
      <c r="J36" s="294">
        <f>VALUE(12596)</f>
        <v>12596</v>
      </c>
      <c r="K36" s="294">
        <v>12978</v>
      </c>
      <c r="L36" s="54">
        <f t="shared" si="15"/>
        <v>-2.943442749267992E-2</v>
      </c>
      <c r="M36" s="53">
        <v>13065</v>
      </c>
      <c r="N36" s="54">
        <f t="shared" si="16"/>
        <v>-3.5897435897435895E-2</v>
      </c>
      <c r="O36" s="294">
        <v>12730</v>
      </c>
      <c r="P36" s="52">
        <f t="shared" si="17"/>
        <v>-1.0526315789473684E-2</v>
      </c>
      <c r="Q36" s="163">
        <f t="shared" si="18"/>
        <v>9.2886630676405207E-2</v>
      </c>
      <c r="R36" s="52">
        <f t="shared" si="19"/>
        <v>9.084604715672677E-2</v>
      </c>
      <c r="S36" s="52">
        <f t="shared" si="20"/>
        <v>2.0405835196784378E-3</v>
      </c>
      <c r="T36" s="52">
        <f t="shared" si="23"/>
        <v>8.1821660926138531E-2</v>
      </c>
      <c r="U36" s="52">
        <f t="shared" si="24"/>
        <v>1.1064969750266676E-2</v>
      </c>
      <c r="V36" s="52">
        <f t="shared" si="25"/>
        <v>6.4571877454831103E-2</v>
      </c>
      <c r="W36" s="52">
        <f t="shared" si="0"/>
        <v>2.8314753221574104E-2</v>
      </c>
      <c r="X36" s="338">
        <v>0.26960000000000001</v>
      </c>
      <c r="Y36" s="338">
        <v>0.1953</v>
      </c>
      <c r="Z36" s="336">
        <v>9.8599999999999993E-2</v>
      </c>
      <c r="AA36" s="337">
        <v>0.21340000000000001</v>
      </c>
      <c r="AB36" s="294"/>
      <c r="AC36" s="357"/>
    </row>
    <row r="37" spans="1:29" ht="17" thickBot="1" x14ac:dyDescent="0.25">
      <c r="A37" s="73">
        <v>58</v>
      </c>
      <c r="B37" s="45" t="s">
        <v>60</v>
      </c>
      <c r="C37" s="295">
        <v>199</v>
      </c>
      <c r="D37" s="324">
        <v>202</v>
      </c>
      <c r="E37" s="52">
        <f t="shared" si="14"/>
        <v>1.507537688442211E-2</v>
      </c>
      <c r="F37" s="76">
        <v>203</v>
      </c>
      <c r="G37" s="52">
        <f t="shared" si="21"/>
        <v>-4.9261083743842365E-3</v>
      </c>
      <c r="H37" s="303">
        <v>169</v>
      </c>
      <c r="I37" s="52">
        <f t="shared" si="22"/>
        <v>0.19526627218934911</v>
      </c>
      <c r="J37" s="294">
        <f>VALUE(1888)</f>
        <v>1888</v>
      </c>
      <c r="K37" s="294">
        <v>2222</v>
      </c>
      <c r="L37" s="54">
        <f t="shared" si="15"/>
        <v>-0.15031503150315031</v>
      </c>
      <c r="M37" s="53">
        <v>2354</v>
      </c>
      <c r="N37" s="54">
        <f t="shared" si="16"/>
        <v>-0.19796091758708581</v>
      </c>
      <c r="O37" s="294">
        <v>2120</v>
      </c>
      <c r="P37" s="52">
        <f t="shared" si="17"/>
        <v>-0.10943396226415095</v>
      </c>
      <c r="Q37" s="163">
        <f t="shared" si="18"/>
        <v>0.10699152542372882</v>
      </c>
      <c r="R37" s="52">
        <f t="shared" si="19"/>
        <v>8.9558955895589556E-2</v>
      </c>
      <c r="S37" s="52">
        <f t="shared" si="20"/>
        <v>1.7432569528139263E-2</v>
      </c>
      <c r="T37" s="52">
        <f t="shared" si="23"/>
        <v>8.6236193712829229E-2</v>
      </c>
      <c r="U37" s="52">
        <f t="shared" si="24"/>
        <v>2.0755331710899591E-2</v>
      </c>
      <c r="V37" s="52">
        <f t="shared" si="25"/>
        <v>7.9716981132075468E-2</v>
      </c>
      <c r="W37" s="52">
        <f t="shared" si="0"/>
        <v>2.7274544291653352E-2</v>
      </c>
      <c r="X37" s="338">
        <v>0.3448</v>
      </c>
      <c r="Y37" s="338">
        <v>0.15079999999999999</v>
      </c>
      <c r="Z37" s="336">
        <v>0.45450000000000002</v>
      </c>
      <c r="AA37" s="335">
        <v>0.71360000000000001</v>
      </c>
      <c r="AB37" s="294"/>
      <c r="AC37" s="357"/>
    </row>
    <row r="38" spans="1:29" ht="17" thickBot="1" x14ac:dyDescent="0.25">
      <c r="A38" s="73">
        <v>59</v>
      </c>
      <c r="B38" s="45" t="s">
        <v>61</v>
      </c>
      <c r="C38" s="295">
        <v>269</v>
      </c>
      <c r="D38" s="324">
        <v>267</v>
      </c>
      <c r="E38" s="52">
        <f t="shared" si="14"/>
        <v>-7.4349442379182153E-3</v>
      </c>
      <c r="F38" s="76">
        <v>369</v>
      </c>
      <c r="G38" s="52">
        <f t="shared" si="21"/>
        <v>-0.27642276422764228</v>
      </c>
      <c r="H38" s="303">
        <v>381</v>
      </c>
      <c r="I38" s="52">
        <f t="shared" si="22"/>
        <v>-0.29921259842519687</v>
      </c>
      <c r="J38" s="294">
        <f>VALUE(3579)</f>
        <v>3579</v>
      </c>
      <c r="K38" s="294">
        <v>3562</v>
      </c>
      <c r="L38" s="54">
        <f t="shared" si="15"/>
        <v>4.7725996631106122E-3</v>
      </c>
      <c r="M38" s="53">
        <v>3442</v>
      </c>
      <c r="N38" s="54">
        <f t="shared" si="16"/>
        <v>3.980244044160372E-2</v>
      </c>
      <c r="O38" s="294">
        <v>3802</v>
      </c>
      <c r="P38" s="52">
        <f t="shared" si="17"/>
        <v>-5.8653340347185695E-2</v>
      </c>
      <c r="Q38" s="163">
        <f t="shared" si="18"/>
        <v>7.4601844090528086E-2</v>
      </c>
      <c r="R38" s="52">
        <f t="shared" si="19"/>
        <v>7.5519371139809097E-2</v>
      </c>
      <c r="S38" s="52">
        <f t="shared" si="20"/>
        <v>-9.1752704928101114E-4</v>
      </c>
      <c r="T38" s="52">
        <f t="shared" si="23"/>
        <v>0.10720511330621732</v>
      </c>
      <c r="U38" s="52">
        <f t="shared" si="24"/>
        <v>-3.2603269215689235E-2</v>
      </c>
      <c r="V38" s="52">
        <f t="shared" si="25"/>
        <v>0.10021041557075223</v>
      </c>
      <c r="W38" s="52">
        <f t="shared" si="0"/>
        <v>-2.5608571480224149E-2</v>
      </c>
      <c r="X38" s="338">
        <v>0.4</v>
      </c>
      <c r="Y38" s="338">
        <v>0.48399999999999999</v>
      </c>
      <c r="Z38" s="336">
        <v>0.55559999999999998</v>
      </c>
      <c r="AA38" s="337">
        <v>0.4733</v>
      </c>
      <c r="AB38" s="294"/>
      <c r="AC38" s="357"/>
    </row>
    <row r="39" spans="1:29" ht="17" thickBot="1" x14ac:dyDescent="0.25">
      <c r="A39" s="73">
        <v>60</v>
      </c>
      <c r="B39" s="45" t="s">
        <v>62</v>
      </c>
      <c r="C39" s="295">
        <v>373</v>
      </c>
      <c r="D39" s="324">
        <v>373</v>
      </c>
      <c r="E39" s="52">
        <f t="shared" si="14"/>
        <v>0</v>
      </c>
      <c r="F39" s="109">
        <v>383</v>
      </c>
      <c r="G39" s="52">
        <f t="shared" si="21"/>
        <v>-2.6109660574412531E-2</v>
      </c>
      <c r="H39" s="303">
        <v>339</v>
      </c>
      <c r="I39" s="52">
        <f t="shared" si="22"/>
        <v>0.10029498525073746</v>
      </c>
      <c r="J39" s="294">
        <f>VALUE(5882)</f>
        <v>5882</v>
      </c>
      <c r="K39" s="294">
        <v>6284</v>
      </c>
      <c r="L39" s="54">
        <f t="shared" si="15"/>
        <v>-6.3971992361553154E-2</v>
      </c>
      <c r="M39" s="53">
        <v>6180</v>
      </c>
      <c r="N39" s="54">
        <f t="shared" si="16"/>
        <v>-4.8220064724919097E-2</v>
      </c>
      <c r="O39" s="294">
        <v>5381</v>
      </c>
      <c r="P39" s="52">
        <f t="shared" si="17"/>
        <v>9.3105370748931424E-2</v>
      </c>
      <c r="Q39" s="163">
        <f t="shared" si="18"/>
        <v>6.3413804828289691E-2</v>
      </c>
      <c r="R39" s="52">
        <f t="shared" si="19"/>
        <v>5.9357097390197323E-2</v>
      </c>
      <c r="S39" s="52">
        <f t="shared" si="20"/>
        <v>4.0567074380923676E-3</v>
      </c>
      <c r="T39" s="52">
        <f t="shared" si="23"/>
        <v>6.1974110032362459E-2</v>
      </c>
      <c r="U39" s="52">
        <f t="shared" si="24"/>
        <v>1.4396947959272322E-3</v>
      </c>
      <c r="V39" s="52">
        <f t="shared" si="25"/>
        <v>6.2999442482809892E-2</v>
      </c>
      <c r="W39" s="52">
        <f t="shared" si="0"/>
        <v>4.14362345479799E-4</v>
      </c>
      <c r="X39" s="338">
        <v>0.21429999999999999</v>
      </c>
      <c r="Y39" s="338">
        <v>0.23760000000000001</v>
      </c>
      <c r="Z39" s="336">
        <v>0.43480000000000002</v>
      </c>
      <c r="AA39" s="337">
        <v>0.35980000000000001</v>
      </c>
      <c r="AB39" s="294"/>
    </row>
    <row r="40" spans="1:29" ht="17" thickBot="1" x14ac:dyDescent="0.25">
      <c r="A40" s="73">
        <v>61</v>
      </c>
      <c r="B40" s="45" t="s">
        <v>63</v>
      </c>
      <c r="C40" s="295">
        <v>3854</v>
      </c>
      <c r="D40" s="324">
        <v>3911</v>
      </c>
      <c r="E40" s="52">
        <f t="shared" si="14"/>
        <v>1.4789828749351324E-2</v>
      </c>
      <c r="F40" s="109">
        <v>3807</v>
      </c>
      <c r="G40" s="52">
        <f t="shared" si="21"/>
        <v>2.7318098240084056E-2</v>
      </c>
      <c r="H40" s="303">
        <v>3306</v>
      </c>
      <c r="I40" s="52">
        <f t="shared" si="22"/>
        <v>0.18300060496067755</v>
      </c>
      <c r="J40" s="294">
        <f>VALUE(19902)</f>
        <v>19902</v>
      </c>
      <c r="K40" s="294">
        <v>19429</v>
      </c>
      <c r="L40" s="54">
        <f t="shared" si="15"/>
        <v>2.4345051212105614E-2</v>
      </c>
      <c r="M40" s="53">
        <v>20002</v>
      </c>
      <c r="N40" s="54">
        <f t="shared" si="16"/>
        <v>-4.9995000499950008E-3</v>
      </c>
      <c r="O40" s="294">
        <v>19028</v>
      </c>
      <c r="P40" s="52">
        <f t="shared" si="17"/>
        <v>4.5932310279587975E-2</v>
      </c>
      <c r="Q40" s="163">
        <f t="shared" si="18"/>
        <v>0.19651291327504775</v>
      </c>
      <c r="R40" s="52">
        <f t="shared" si="19"/>
        <v>0.19836327139842502</v>
      </c>
      <c r="S40" s="52">
        <f t="shared" si="20"/>
        <v>-1.850358123377277E-3</v>
      </c>
      <c r="T40" s="52">
        <f t="shared" si="23"/>
        <v>0.19033096690330967</v>
      </c>
      <c r="U40" s="52">
        <f t="shared" si="24"/>
        <v>6.1819463717380785E-3</v>
      </c>
      <c r="V40" s="52">
        <f t="shared" si="25"/>
        <v>0.17374395627496322</v>
      </c>
      <c r="W40" s="52">
        <f t="shared" si="0"/>
        <v>2.2768957000084522E-2</v>
      </c>
      <c r="X40" s="338">
        <v>0.1792</v>
      </c>
      <c r="Y40" s="348">
        <v>0.18379999999999999</v>
      </c>
      <c r="Z40" s="336">
        <v>0.38719999999999999</v>
      </c>
      <c r="AA40" s="337">
        <v>0.39889999999999998</v>
      </c>
    </row>
    <row r="41" spans="1:29" ht="17" thickBot="1" x14ac:dyDescent="0.25">
      <c r="A41" s="73">
        <v>62</v>
      </c>
      <c r="B41" s="45" t="s">
        <v>64</v>
      </c>
      <c r="C41" s="295">
        <v>1553</v>
      </c>
      <c r="D41" s="324">
        <v>1559</v>
      </c>
      <c r="E41" s="52">
        <f t="shared" si="14"/>
        <v>3.8634900193174502E-3</v>
      </c>
      <c r="F41" s="109">
        <v>1278</v>
      </c>
      <c r="G41" s="52">
        <f t="shared" si="21"/>
        <v>0.21987480438184664</v>
      </c>
      <c r="H41" s="303">
        <v>921</v>
      </c>
      <c r="I41" s="52">
        <f t="shared" si="22"/>
        <v>0.69272529858849075</v>
      </c>
      <c r="J41" s="294">
        <f>VALUE(11700)</f>
        <v>11700</v>
      </c>
      <c r="K41" s="294">
        <v>11793</v>
      </c>
      <c r="L41" s="54">
        <f t="shared" si="15"/>
        <v>-7.8860340880183167E-3</v>
      </c>
      <c r="M41" s="53">
        <v>10934</v>
      </c>
      <c r="N41" s="54">
        <f t="shared" si="16"/>
        <v>7.0056703859520758E-2</v>
      </c>
      <c r="O41" s="294">
        <v>8457</v>
      </c>
      <c r="P41" s="52">
        <f t="shared" si="17"/>
        <v>0.38346931536005674</v>
      </c>
      <c r="Q41" s="163">
        <f t="shared" si="18"/>
        <v>0.13324786324786325</v>
      </c>
      <c r="R41" s="52">
        <f t="shared" si="19"/>
        <v>0.13168828966335963</v>
      </c>
      <c r="S41" s="52">
        <f t="shared" si="20"/>
        <v>1.5595735845036207E-3</v>
      </c>
      <c r="T41" s="52">
        <f t="shared" si="23"/>
        <v>0.11688311688311688</v>
      </c>
      <c r="U41" s="52">
        <f t="shared" si="24"/>
        <v>1.6364746364746371E-2</v>
      </c>
      <c r="V41" s="52">
        <f t="shared" si="25"/>
        <v>0.10890386661936857</v>
      </c>
      <c r="W41" s="52">
        <f t="shared" si="0"/>
        <v>2.434399662849468E-2</v>
      </c>
      <c r="X41" s="338">
        <v>0.1825</v>
      </c>
      <c r="Y41" s="338">
        <v>0.16769999999999999</v>
      </c>
      <c r="Z41" s="336">
        <v>0.42349999999999999</v>
      </c>
      <c r="AA41" s="337">
        <v>0.2833</v>
      </c>
    </row>
    <row r="42" spans="1:29" ht="17" thickBot="1" x14ac:dyDescent="0.25">
      <c r="A42" s="73">
        <v>63</v>
      </c>
      <c r="B42" s="45" t="s">
        <v>65</v>
      </c>
      <c r="C42" s="295">
        <v>964</v>
      </c>
      <c r="D42" s="324">
        <v>967</v>
      </c>
      <c r="E42" s="52">
        <f t="shared" si="14"/>
        <v>3.1120331950207467E-3</v>
      </c>
      <c r="F42" s="109">
        <v>896</v>
      </c>
      <c r="G42" s="52">
        <f t="shared" si="21"/>
        <v>7.9241071428571425E-2</v>
      </c>
      <c r="H42" s="303">
        <v>910</v>
      </c>
      <c r="I42" s="52">
        <f t="shared" si="22"/>
        <v>6.2637362637362637E-2</v>
      </c>
      <c r="J42" s="294">
        <f>VALUE(6757)</f>
        <v>6757</v>
      </c>
      <c r="K42" s="294">
        <v>8867</v>
      </c>
      <c r="L42" s="54">
        <f t="shared" si="15"/>
        <v>-0.23796097891056728</v>
      </c>
      <c r="M42" s="53">
        <v>8155</v>
      </c>
      <c r="N42" s="54">
        <f t="shared" si="16"/>
        <v>-0.17142857142857143</v>
      </c>
      <c r="O42" s="294">
        <v>6838</v>
      </c>
      <c r="P42" s="52">
        <f t="shared" si="17"/>
        <v>-1.1845568879789412E-2</v>
      </c>
      <c r="Q42" s="52">
        <f t="shared" si="18"/>
        <v>0.14311084800947166</v>
      </c>
      <c r="R42" s="52">
        <f t="shared" si="19"/>
        <v>0.1087177173790459</v>
      </c>
      <c r="S42" s="52">
        <f t="shared" si="20"/>
        <v>3.4393130630425761E-2</v>
      </c>
      <c r="T42" s="52">
        <f t="shared" si="23"/>
        <v>0.10987124463519313</v>
      </c>
      <c r="U42" s="52">
        <f t="shared" si="24"/>
        <v>3.3239603374278531E-2</v>
      </c>
      <c r="V42" s="52">
        <f t="shared" si="25"/>
        <v>0.13307984790874525</v>
      </c>
      <c r="W42" s="52">
        <f t="shared" si="0"/>
        <v>1.0031000100726412E-2</v>
      </c>
      <c r="X42" s="351">
        <v>0.20430000000000001</v>
      </c>
      <c r="Y42" s="352">
        <v>0.1734</v>
      </c>
      <c r="Z42" s="334"/>
      <c r="AA42" s="335"/>
    </row>
    <row r="43" spans="1:29" ht="17" thickBot="1" x14ac:dyDescent="0.25">
      <c r="A43" s="81">
        <v>64</v>
      </c>
      <c r="B43" s="45" t="s">
        <v>66</v>
      </c>
      <c r="C43" s="295">
        <v>159</v>
      </c>
      <c r="D43" s="324">
        <v>141</v>
      </c>
      <c r="E43" s="52">
        <f t="shared" si="14"/>
        <v>-0.11320754716981132</v>
      </c>
      <c r="F43" s="76">
        <v>143</v>
      </c>
      <c r="G43" s="52">
        <f t="shared" si="21"/>
        <v>-1.3986013986013986E-2</v>
      </c>
      <c r="H43" s="303">
        <v>188</v>
      </c>
      <c r="I43" s="52">
        <f t="shared" si="22"/>
        <v>-0.25</v>
      </c>
      <c r="J43" s="356"/>
      <c r="K43" s="294">
        <v>1459</v>
      </c>
      <c r="L43" s="54">
        <f t="shared" si="15"/>
        <v>-1</v>
      </c>
      <c r="M43" s="53">
        <v>1784</v>
      </c>
      <c r="N43" s="54">
        <f t="shared" si="16"/>
        <v>-1</v>
      </c>
      <c r="O43" s="294">
        <v>1692</v>
      </c>
      <c r="P43" s="52">
        <f t="shared" si="17"/>
        <v>-1</v>
      </c>
      <c r="Q43" s="52" t="e">
        <f t="shared" si="18"/>
        <v>#DIV/0!</v>
      </c>
      <c r="R43" s="52">
        <f t="shared" si="19"/>
        <v>0.10897875257025359</v>
      </c>
      <c r="S43" s="52" t="e">
        <f t="shared" si="20"/>
        <v>#DIV/0!</v>
      </c>
      <c r="T43" s="52">
        <f t="shared" si="23"/>
        <v>8.0156950672645735E-2</v>
      </c>
      <c r="U43" s="52" t="e">
        <f t="shared" si="24"/>
        <v>#DIV/0!</v>
      </c>
      <c r="V43" s="52">
        <f t="shared" si="25"/>
        <v>0.1111111111111111</v>
      </c>
      <c r="W43" s="52" t="e">
        <f t="shared" si="0"/>
        <v>#DIV/0!</v>
      </c>
      <c r="X43" s="344"/>
      <c r="Y43" s="344"/>
      <c r="Z43" s="334"/>
      <c r="AA43" s="335"/>
    </row>
    <row r="44" spans="1:29" ht="17" thickBot="1" x14ac:dyDescent="0.25">
      <c r="A44" s="73">
        <v>67</v>
      </c>
      <c r="B44" s="45" t="s">
        <v>67</v>
      </c>
      <c r="C44" s="295">
        <v>612</v>
      </c>
      <c r="D44" s="324">
        <v>640</v>
      </c>
      <c r="E44" s="52">
        <f t="shared" si="14"/>
        <v>4.5751633986928102E-2</v>
      </c>
      <c r="F44" s="109">
        <v>680</v>
      </c>
      <c r="G44" s="52">
        <f t="shared" si="21"/>
        <v>-5.8823529411764705E-2</v>
      </c>
      <c r="H44" s="303">
        <v>677</v>
      </c>
      <c r="I44" s="52">
        <f t="shared" si="22"/>
        <v>-5.4652880354505169E-2</v>
      </c>
      <c r="J44" s="294">
        <f>VALUE(5599)</f>
        <v>5599</v>
      </c>
      <c r="K44" s="294">
        <v>5658</v>
      </c>
      <c r="L44" s="54">
        <f t="shared" si="15"/>
        <v>-1.0427712972781902E-2</v>
      </c>
      <c r="M44" s="53">
        <v>5808</v>
      </c>
      <c r="N44" s="54">
        <f t="shared" si="16"/>
        <v>-3.5984848484848488E-2</v>
      </c>
      <c r="O44" s="294">
        <v>5993</v>
      </c>
      <c r="P44" s="52">
        <f t="shared" si="17"/>
        <v>-6.5743367261805435E-2</v>
      </c>
      <c r="Q44" s="52">
        <f t="shared" si="18"/>
        <v>0.11430612609394535</v>
      </c>
      <c r="R44" s="52">
        <f t="shared" si="19"/>
        <v>0.10816542948038176</v>
      </c>
      <c r="S44" s="52">
        <f t="shared" si="20"/>
        <v>6.1406966135635899E-3</v>
      </c>
      <c r="T44" s="52">
        <f t="shared" si="23"/>
        <v>0.11707988980716254</v>
      </c>
      <c r="U44" s="52">
        <f t="shared" si="24"/>
        <v>-2.7737637132171922E-3</v>
      </c>
      <c r="V44" s="52">
        <f t="shared" si="25"/>
        <v>0.11296512598031036</v>
      </c>
      <c r="W44" s="52">
        <f t="shared" si="0"/>
        <v>1.3410001136349853E-3</v>
      </c>
      <c r="X44" s="344"/>
      <c r="Y44" s="344" t="s">
        <v>157</v>
      </c>
      <c r="Z44" s="336">
        <v>0.37040000000000001</v>
      </c>
      <c r="AA44" s="337">
        <v>0.41170000000000001</v>
      </c>
    </row>
    <row r="45" spans="1:29" ht="17" thickBot="1" x14ac:dyDescent="0.25">
      <c r="A45" s="73">
        <v>68</v>
      </c>
      <c r="B45" s="45" t="s">
        <v>68</v>
      </c>
      <c r="C45" s="295">
        <v>1635</v>
      </c>
      <c r="D45" s="324">
        <v>1654</v>
      </c>
      <c r="E45" s="52">
        <f t="shared" si="14"/>
        <v>1.1620795107033639E-2</v>
      </c>
      <c r="F45" s="76">
        <v>1578</v>
      </c>
      <c r="G45" s="52">
        <f t="shared" si="21"/>
        <v>4.8162230671736375E-2</v>
      </c>
      <c r="H45" s="303">
        <v>1275</v>
      </c>
      <c r="I45" s="52">
        <f t="shared" si="22"/>
        <v>0.2972549019607843</v>
      </c>
      <c r="J45" s="294">
        <f>VALUE(14421)</f>
        <v>14421</v>
      </c>
      <c r="K45" s="294">
        <v>14742</v>
      </c>
      <c r="L45" s="54">
        <f t="shared" si="15"/>
        <v>-2.1774521774521775E-2</v>
      </c>
      <c r="M45" s="53">
        <v>13897</v>
      </c>
      <c r="N45" s="54">
        <f t="shared" si="16"/>
        <v>3.7705979707850612E-2</v>
      </c>
      <c r="O45" s="294">
        <v>13413</v>
      </c>
      <c r="P45" s="52">
        <f t="shared" si="17"/>
        <v>7.5150972936703198E-2</v>
      </c>
      <c r="Q45" s="163">
        <f t="shared" si="18"/>
        <v>0.11469384924762499</v>
      </c>
      <c r="R45" s="52">
        <f t="shared" si="19"/>
        <v>0.11090761090761091</v>
      </c>
      <c r="S45" s="52">
        <f t="shared" si="20"/>
        <v>3.7862383400140837E-3</v>
      </c>
      <c r="T45" s="52">
        <f t="shared" si="23"/>
        <v>0.11354968698280204</v>
      </c>
      <c r="U45" s="52">
        <f t="shared" si="24"/>
        <v>1.1441622648229455E-3</v>
      </c>
      <c r="V45" s="52">
        <f t="shared" si="25"/>
        <v>9.5057034220532313E-2</v>
      </c>
      <c r="W45" s="52">
        <f t="shared" si="0"/>
        <v>1.9636815027092677E-2</v>
      </c>
      <c r="X45" s="344">
        <v>0.1056</v>
      </c>
      <c r="Y45" s="344">
        <v>0.10580000000000001</v>
      </c>
      <c r="Z45" s="336">
        <v>0.5282</v>
      </c>
      <c r="AA45" s="337">
        <v>0.55640000000000001</v>
      </c>
    </row>
    <row r="46" spans="1:29" ht="17" thickBot="1" x14ac:dyDescent="0.25">
      <c r="A46" s="73">
        <v>69</v>
      </c>
      <c r="B46" s="59" t="s">
        <v>69</v>
      </c>
      <c r="C46" s="291">
        <v>450</v>
      </c>
      <c r="D46" s="326">
        <v>457</v>
      </c>
      <c r="E46" s="56">
        <f t="shared" si="14"/>
        <v>1.5555555555555555E-2</v>
      </c>
      <c r="F46" s="62">
        <v>382</v>
      </c>
      <c r="G46" s="56">
        <f t="shared" si="21"/>
        <v>0.19633507853403143</v>
      </c>
      <c r="H46" s="309">
        <v>369</v>
      </c>
      <c r="I46" s="56">
        <f t="shared" si="22"/>
        <v>0.23848238482384823</v>
      </c>
      <c r="J46" s="294">
        <f>VALUE(4121)</f>
        <v>4121</v>
      </c>
      <c r="K46" s="294">
        <v>4353</v>
      </c>
      <c r="L46" s="57">
        <f t="shared" si="15"/>
        <v>-5.3296577073282794E-2</v>
      </c>
      <c r="M46" s="130">
        <v>4285</v>
      </c>
      <c r="N46" s="57">
        <f t="shared" si="16"/>
        <v>-3.8273045507584598E-2</v>
      </c>
      <c r="O46" s="294">
        <v>4088</v>
      </c>
      <c r="P46" s="56">
        <f t="shared" si="17"/>
        <v>8.0724070450097843E-3</v>
      </c>
      <c r="Q46" s="358">
        <f t="shared" si="18"/>
        <v>0.11089541373453045</v>
      </c>
      <c r="R46" s="56">
        <f t="shared" si="19"/>
        <v>0.10337698139214335</v>
      </c>
      <c r="S46" s="56">
        <f t="shared" si="20"/>
        <v>7.5184323423870963E-3</v>
      </c>
      <c r="T46" s="56">
        <f t="shared" si="23"/>
        <v>8.9148191365227544E-2</v>
      </c>
      <c r="U46" s="56">
        <f t="shared" si="24"/>
        <v>2.1747222369302904E-2</v>
      </c>
      <c r="V46" s="56">
        <f t="shared" si="25"/>
        <v>9.0264187866927595E-2</v>
      </c>
      <c r="W46" s="56">
        <f t="shared" si="0"/>
        <v>2.0631225867602854E-2</v>
      </c>
      <c r="X46" s="345">
        <v>0.06</v>
      </c>
      <c r="Y46" s="345">
        <v>0.13539999999999999</v>
      </c>
      <c r="Z46" s="346">
        <v>0.2</v>
      </c>
      <c r="AA46" s="347">
        <v>0.39019999999999999</v>
      </c>
    </row>
    <row r="47" spans="1:29" ht="17" thickBot="1" x14ac:dyDescent="0.25">
      <c r="A47" s="73">
        <v>70</v>
      </c>
      <c r="B47" s="45" t="s">
        <v>70</v>
      </c>
      <c r="C47" s="295">
        <v>362</v>
      </c>
      <c r="D47" s="324">
        <v>366</v>
      </c>
      <c r="E47" s="52">
        <f t="shared" si="14"/>
        <v>1.1049723756906077E-2</v>
      </c>
      <c r="F47" s="109">
        <v>347</v>
      </c>
      <c r="G47" s="52">
        <f t="shared" si="21"/>
        <v>5.4755043227665709E-2</v>
      </c>
      <c r="H47" s="303">
        <v>362</v>
      </c>
      <c r="I47" s="52">
        <f t="shared" si="22"/>
        <v>1.1049723756906077E-2</v>
      </c>
      <c r="J47" s="294">
        <f>VALUE(3586)</f>
        <v>3586</v>
      </c>
      <c r="K47" s="294">
        <v>3809</v>
      </c>
      <c r="L47" s="54">
        <f t="shared" si="15"/>
        <v>-5.8545550013126807E-2</v>
      </c>
      <c r="M47" s="53">
        <v>3861</v>
      </c>
      <c r="N47" s="54">
        <f t="shared" si="16"/>
        <v>-7.1225071225071226E-2</v>
      </c>
      <c r="O47" s="294">
        <v>3679</v>
      </c>
      <c r="P47" s="52">
        <f t="shared" si="17"/>
        <v>-2.5278608317477577E-2</v>
      </c>
      <c r="Q47" s="163">
        <f t="shared" si="18"/>
        <v>0.10206358059118795</v>
      </c>
      <c r="R47" s="52">
        <f t="shared" si="19"/>
        <v>9.5038067734313475E-2</v>
      </c>
      <c r="S47" s="52">
        <f t="shared" si="20"/>
        <v>7.0255128568744718E-3</v>
      </c>
      <c r="T47" s="52">
        <f t="shared" si="23"/>
        <v>8.9873089873089868E-2</v>
      </c>
      <c r="U47" s="52">
        <f t="shared" si="24"/>
        <v>1.2190490718098079E-2</v>
      </c>
      <c r="V47" s="52">
        <f t="shared" si="25"/>
        <v>9.839630334329981E-2</v>
      </c>
      <c r="W47" s="52">
        <f t="shared" si="0"/>
        <v>3.6672772478881371E-3</v>
      </c>
      <c r="X47" s="344">
        <v>0.28000000000000003</v>
      </c>
      <c r="Y47" s="344">
        <v>-3.8800000000000001E-2</v>
      </c>
      <c r="Z47" s="336">
        <v>0.59089999999999998</v>
      </c>
      <c r="AA47" s="337">
        <v>0.59150000000000003</v>
      </c>
    </row>
    <row r="48" spans="1:29" ht="17" thickBot="1" x14ac:dyDescent="0.25">
      <c r="A48" s="73">
        <v>71</v>
      </c>
      <c r="B48" s="45" t="s">
        <v>71</v>
      </c>
      <c r="C48" s="295">
        <v>1180</v>
      </c>
      <c r="D48" s="324">
        <v>1244</v>
      </c>
      <c r="E48" s="52">
        <f t="shared" si="14"/>
        <v>5.4237288135593219E-2</v>
      </c>
      <c r="F48" s="109">
        <v>1211</v>
      </c>
      <c r="G48" s="52">
        <f t="shared" si="21"/>
        <v>2.7250206440957887E-2</v>
      </c>
      <c r="H48" s="303">
        <v>1076</v>
      </c>
      <c r="I48" s="52">
        <f t="shared" si="22"/>
        <v>0.15613382899628253</v>
      </c>
      <c r="J48" s="294">
        <f>VALUE(8031)</f>
        <v>8031</v>
      </c>
      <c r="K48" s="294">
        <v>10480</v>
      </c>
      <c r="L48" s="54">
        <f t="shared" si="15"/>
        <v>-0.23368320610687024</v>
      </c>
      <c r="M48" s="53">
        <v>8302</v>
      </c>
      <c r="N48" s="54">
        <f t="shared" si="16"/>
        <v>-3.2642736689954231E-2</v>
      </c>
      <c r="O48" s="294">
        <v>7619</v>
      </c>
      <c r="P48" s="52">
        <f t="shared" si="17"/>
        <v>5.4075337970862315E-2</v>
      </c>
      <c r="Q48" s="163">
        <f t="shared" si="18"/>
        <v>0.15489976341676007</v>
      </c>
      <c r="R48" s="52">
        <f t="shared" si="19"/>
        <v>0.11259541984732824</v>
      </c>
      <c r="S48" s="52">
        <f t="shared" si="20"/>
        <v>4.2304343569431829E-2</v>
      </c>
      <c r="T48" s="52">
        <f t="shared" si="23"/>
        <v>0.14586846543001686</v>
      </c>
      <c r="U48" s="52">
        <f t="shared" si="24"/>
        <v>9.0312979867432086E-3</v>
      </c>
      <c r="V48" s="52">
        <f t="shared" si="25"/>
        <v>0.14122588266176664</v>
      </c>
      <c r="W48" s="52">
        <f t="shared" si="0"/>
        <v>1.3673880754993428E-2</v>
      </c>
      <c r="X48" s="344">
        <v>0.1731</v>
      </c>
      <c r="Y48" s="344">
        <v>0.1118</v>
      </c>
      <c r="Z48" s="336">
        <v>0.314</v>
      </c>
      <c r="AA48" s="337">
        <v>0.28949999999999998</v>
      </c>
    </row>
    <row r="49" spans="1:27" ht="17" thickBot="1" x14ac:dyDescent="0.25">
      <c r="A49" s="73">
        <v>72</v>
      </c>
      <c r="B49" s="45" t="s">
        <v>72</v>
      </c>
      <c r="C49" s="295">
        <v>855</v>
      </c>
      <c r="D49" s="324">
        <v>848</v>
      </c>
      <c r="E49" s="52">
        <f t="shared" si="14"/>
        <v>-8.1871345029239772E-3</v>
      </c>
      <c r="F49" s="109">
        <v>825</v>
      </c>
      <c r="G49" s="52">
        <f t="shared" si="21"/>
        <v>2.7878787878787878E-2</v>
      </c>
      <c r="H49" s="303">
        <v>817</v>
      </c>
      <c r="I49" s="52">
        <f t="shared" si="22"/>
        <v>3.7943696450428395E-2</v>
      </c>
      <c r="J49" s="294">
        <f>VALUE(5272)</f>
        <v>5272</v>
      </c>
      <c r="K49" s="294">
        <v>5394</v>
      </c>
      <c r="L49" s="54">
        <f t="shared" si="15"/>
        <v>-2.2617723396366331E-2</v>
      </c>
      <c r="M49" s="53">
        <v>5324</v>
      </c>
      <c r="N49" s="54">
        <f t="shared" si="16"/>
        <v>-9.7670924117205116E-3</v>
      </c>
      <c r="O49" s="294">
        <v>5070</v>
      </c>
      <c r="P49" s="52">
        <f t="shared" si="17"/>
        <v>3.98422090729783E-2</v>
      </c>
      <c r="Q49" s="163">
        <f t="shared" si="18"/>
        <v>0.16084977238239756</v>
      </c>
      <c r="R49" s="52">
        <f t="shared" si="19"/>
        <v>0.15850945494994439</v>
      </c>
      <c r="S49" s="52">
        <f t="shared" si="20"/>
        <v>2.340317432453165E-3</v>
      </c>
      <c r="T49" s="52">
        <f t="shared" si="23"/>
        <v>0.15495867768595042</v>
      </c>
      <c r="U49" s="52">
        <f t="shared" si="24"/>
        <v>5.8910946964471356E-3</v>
      </c>
      <c r="V49" s="52">
        <f t="shared" si="25"/>
        <v>0.16114398422090731</v>
      </c>
      <c r="W49" s="52">
        <f t="shared" si="0"/>
        <v>-2.942118385097503E-4</v>
      </c>
      <c r="X49" s="353">
        <v>0</v>
      </c>
      <c r="Y49" s="353">
        <v>0.16170000000000001</v>
      </c>
      <c r="Z49" s="336">
        <v>0.36230000000000001</v>
      </c>
      <c r="AA49" s="337">
        <v>0.30180000000000001</v>
      </c>
    </row>
    <row r="50" spans="1:27" ht="17" thickBot="1" x14ac:dyDescent="0.25">
      <c r="A50" s="73">
        <v>73</v>
      </c>
      <c r="B50" s="45" t="s">
        <v>73</v>
      </c>
      <c r="C50" s="295">
        <v>1206</v>
      </c>
      <c r="D50" s="324">
        <v>1227</v>
      </c>
      <c r="E50" s="52">
        <f t="shared" si="14"/>
        <v>1.7412935323383085E-2</v>
      </c>
      <c r="F50" s="109">
        <v>1212</v>
      </c>
      <c r="G50" s="52">
        <f t="shared" si="21"/>
        <v>1.2376237623762377E-2</v>
      </c>
      <c r="H50" s="303">
        <v>1056</v>
      </c>
      <c r="I50" s="52">
        <f t="shared" si="22"/>
        <v>0.16193181818181818</v>
      </c>
      <c r="J50" s="294">
        <f>VALUE(14871)</f>
        <v>14871</v>
      </c>
      <c r="K50" s="294">
        <v>15152</v>
      </c>
      <c r="L50" s="54">
        <f t="shared" si="15"/>
        <v>-1.8545406546990495E-2</v>
      </c>
      <c r="M50" s="53">
        <v>14410</v>
      </c>
      <c r="N50" s="54">
        <f t="shared" si="16"/>
        <v>3.1991672449687716E-2</v>
      </c>
      <c r="O50" s="294">
        <v>13614</v>
      </c>
      <c r="P50" s="52">
        <f t="shared" si="17"/>
        <v>9.2331423534596738E-2</v>
      </c>
      <c r="Q50" s="163">
        <f t="shared" si="18"/>
        <v>8.2509582408714949E-2</v>
      </c>
      <c r="R50" s="52">
        <f t="shared" si="19"/>
        <v>7.9593453009503698E-2</v>
      </c>
      <c r="S50" s="52">
        <f t="shared" si="20"/>
        <v>2.9161293992112508E-3</v>
      </c>
      <c r="T50" s="52">
        <f t="shared" si="23"/>
        <v>8.4108258154059687E-2</v>
      </c>
      <c r="U50" s="52">
        <f t="shared" si="24"/>
        <v>-1.5986757453447381E-3</v>
      </c>
      <c r="V50" s="52">
        <f t="shared" si="25"/>
        <v>7.7567210224768618E-2</v>
      </c>
      <c r="W50" s="52">
        <f t="shared" si="0"/>
        <v>4.9423721839463308E-3</v>
      </c>
      <c r="X50" s="338">
        <v>4.3499999999999997E-2</v>
      </c>
      <c r="Y50" s="338">
        <v>9.8599999999999993E-2</v>
      </c>
      <c r="Z50" s="336">
        <v>0.2059</v>
      </c>
      <c r="AA50" s="337">
        <v>0.20169999999999999</v>
      </c>
    </row>
    <row r="51" spans="1:27" ht="17" thickBot="1" x14ac:dyDescent="0.25">
      <c r="A51" s="73">
        <v>74</v>
      </c>
      <c r="B51" s="45" t="s">
        <v>15</v>
      </c>
      <c r="C51" s="310"/>
      <c r="D51" s="329"/>
      <c r="E51" s="52"/>
      <c r="F51" s="313"/>
      <c r="G51" s="52"/>
      <c r="H51" s="311"/>
      <c r="I51" s="52"/>
      <c r="J51" s="314"/>
      <c r="K51" s="315"/>
      <c r="L51" s="54"/>
      <c r="M51" s="316"/>
      <c r="N51" s="54"/>
      <c r="O51" s="316"/>
      <c r="P51" s="52"/>
      <c r="Q51" s="52"/>
      <c r="R51" s="52"/>
      <c r="S51" s="52"/>
      <c r="T51" s="52"/>
      <c r="U51" s="52"/>
      <c r="V51" s="52"/>
      <c r="W51" s="52"/>
      <c r="X51" s="338"/>
      <c r="Y51" s="338"/>
      <c r="Z51" s="336"/>
      <c r="AA51" s="343"/>
    </row>
    <row r="52" spans="1:27" ht="17" thickBot="1" x14ac:dyDescent="0.25">
      <c r="A52" s="73">
        <v>75</v>
      </c>
      <c r="B52" s="45" t="s">
        <v>74</v>
      </c>
      <c r="C52" s="295">
        <v>528</v>
      </c>
      <c r="D52" s="324">
        <v>540</v>
      </c>
      <c r="E52" s="52">
        <f>(D52-C52)/C52</f>
        <v>2.2727272727272728E-2</v>
      </c>
      <c r="F52" s="109">
        <v>496</v>
      </c>
      <c r="G52" s="52">
        <f>(D52-F52)/F52</f>
        <v>8.8709677419354843E-2</v>
      </c>
      <c r="H52" s="303">
        <v>478</v>
      </c>
      <c r="I52" s="52">
        <f>(D52-H52)/H52</f>
        <v>0.1297071129707113</v>
      </c>
      <c r="J52" s="294">
        <f>VALUE(6263)</f>
        <v>6263</v>
      </c>
      <c r="K52" s="294">
        <v>6382</v>
      </c>
      <c r="L52" s="54">
        <f>(J52-K52)/K52</f>
        <v>-1.8646192416170479E-2</v>
      </c>
      <c r="M52" s="53">
        <v>6072</v>
      </c>
      <c r="N52" s="54">
        <f>(J52-M52)/M52</f>
        <v>3.1455862977602111E-2</v>
      </c>
      <c r="O52" s="356"/>
      <c r="P52" s="52" t="e">
        <f>(J52-O52)/O52</f>
        <v>#DIV/0!</v>
      </c>
      <c r="Q52" s="52">
        <f>(D52/J52)</f>
        <v>8.6220661025067855E-2</v>
      </c>
      <c r="R52" s="52">
        <f>(C52/K52)</f>
        <v>8.2732685678470697E-2</v>
      </c>
      <c r="S52" s="52">
        <f>(Q52-R52)</f>
        <v>3.487975346597158E-3</v>
      </c>
      <c r="T52" s="52">
        <f>(F52/M52)</f>
        <v>8.1686429512516465E-2</v>
      </c>
      <c r="U52" s="52">
        <f>(Q52-T52)</f>
        <v>4.5342315125513899E-3</v>
      </c>
      <c r="V52" s="52" t="e">
        <f>(H52/O52)</f>
        <v>#DIV/0!</v>
      </c>
      <c r="W52" s="52" t="e">
        <f t="shared" si="0"/>
        <v>#DIV/0!</v>
      </c>
      <c r="X52" s="338">
        <v>0.36170000000000002</v>
      </c>
      <c r="Y52" s="338">
        <v>0.27950000000000003</v>
      </c>
      <c r="Z52" s="336">
        <v>0.4118</v>
      </c>
      <c r="AA52" s="337">
        <v>0.49080000000000001</v>
      </c>
    </row>
    <row r="53" spans="1:27" ht="17" thickBot="1" x14ac:dyDescent="0.25">
      <c r="A53" s="73">
        <v>78</v>
      </c>
      <c r="B53" s="45" t="s">
        <v>9</v>
      </c>
      <c r="C53" s="310"/>
      <c r="D53" s="329"/>
      <c r="E53" s="52"/>
      <c r="F53" s="313"/>
      <c r="G53" s="52"/>
      <c r="H53" s="311"/>
      <c r="I53" s="52"/>
      <c r="J53" s="316"/>
      <c r="K53" s="317"/>
      <c r="L53" s="54"/>
      <c r="M53" s="316"/>
      <c r="N53" s="54"/>
      <c r="O53" s="316"/>
      <c r="P53" s="52"/>
      <c r="Q53" s="52"/>
      <c r="R53" s="52"/>
      <c r="S53" s="52"/>
      <c r="T53" s="52"/>
      <c r="U53" s="52"/>
      <c r="V53" s="52"/>
      <c r="W53" s="52"/>
      <c r="X53" s="338"/>
      <c r="Y53" s="338"/>
      <c r="Z53" s="336"/>
      <c r="AA53" s="343"/>
    </row>
    <row r="54" spans="1:27" ht="17" thickBot="1" x14ac:dyDescent="0.25">
      <c r="A54" s="73">
        <v>79</v>
      </c>
      <c r="B54" s="45" t="s">
        <v>75</v>
      </c>
      <c r="C54" s="295">
        <v>1004</v>
      </c>
      <c r="D54" s="324">
        <v>1019</v>
      </c>
      <c r="E54" s="52">
        <f>(D54-C54)/C54</f>
        <v>1.4940239043824702E-2</v>
      </c>
      <c r="F54" s="76">
        <v>1050</v>
      </c>
      <c r="G54" s="52">
        <f>(D54-F54)/F54</f>
        <v>-2.9523809523809525E-2</v>
      </c>
      <c r="H54" s="303">
        <v>814</v>
      </c>
      <c r="I54" s="52">
        <f>(D54-H54)/H54</f>
        <v>0.25184275184275184</v>
      </c>
      <c r="J54" s="294">
        <f>VALUE(7857)</f>
        <v>7857</v>
      </c>
      <c r="K54" s="294">
        <v>8126</v>
      </c>
      <c r="L54" s="54">
        <f>(J54-K54)/K54</f>
        <v>-3.3103618016244153E-2</v>
      </c>
      <c r="M54" s="53">
        <v>7825</v>
      </c>
      <c r="N54" s="54">
        <f>(J54-M54)/M54</f>
        <v>4.0894568690095848E-3</v>
      </c>
      <c r="O54" s="294">
        <v>7761</v>
      </c>
      <c r="P54" s="52">
        <f>(J54-O54)/O54</f>
        <v>1.2369540007730962E-2</v>
      </c>
      <c r="Q54" s="52">
        <f>(D54/J54)</f>
        <v>0.12969326715031182</v>
      </c>
      <c r="R54" s="52">
        <f>(C54/K54)</f>
        <v>0.1235540241201083</v>
      </c>
      <c r="S54" s="52">
        <f>(Q54-R54)</f>
        <v>6.1392430302035228E-3</v>
      </c>
      <c r="T54" s="52">
        <f>(F54/M54)</f>
        <v>0.13418530351437699</v>
      </c>
      <c r="U54" s="52">
        <f>(Q54-T54)</f>
        <v>-4.4920363640651717E-3</v>
      </c>
      <c r="V54" s="52">
        <f>(H54/O54)</f>
        <v>0.10488339131555212</v>
      </c>
      <c r="W54" s="52">
        <f t="shared" si="0"/>
        <v>2.4809875834759701E-2</v>
      </c>
      <c r="X54" s="338">
        <v>0.114</v>
      </c>
      <c r="Y54" s="338">
        <v>0.1457</v>
      </c>
      <c r="Z54" s="336">
        <v>0.49380000000000002</v>
      </c>
      <c r="AA54" s="337">
        <v>0.46789999999999998</v>
      </c>
    </row>
    <row r="55" spans="1:27" ht="17" thickBot="1" x14ac:dyDescent="0.25">
      <c r="A55" s="73">
        <v>81</v>
      </c>
      <c r="B55" s="45" t="s">
        <v>7</v>
      </c>
      <c r="C55" s="310"/>
      <c r="D55" s="329"/>
      <c r="E55" s="52"/>
      <c r="F55" s="313"/>
      <c r="G55" s="52"/>
      <c r="H55" s="311"/>
      <c r="I55" s="52"/>
      <c r="J55" s="311"/>
      <c r="K55" s="310"/>
      <c r="L55" s="54"/>
      <c r="M55" s="311"/>
      <c r="N55" s="54"/>
      <c r="O55" s="311"/>
      <c r="P55" s="52"/>
      <c r="Q55" s="52"/>
      <c r="R55" s="52"/>
      <c r="S55" s="52"/>
      <c r="T55" s="52"/>
      <c r="U55" s="52"/>
      <c r="V55" s="52"/>
      <c r="W55" s="52"/>
      <c r="X55" s="338"/>
      <c r="Y55" s="338"/>
      <c r="Z55" s="336"/>
      <c r="AA55" s="343"/>
    </row>
    <row r="56" spans="1:27" ht="17" thickBot="1" x14ac:dyDescent="0.25">
      <c r="A56" s="73">
        <v>82</v>
      </c>
      <c r="B56" s="45" t="s">
        <v>76</v>
      </c>
      <c r="C56" s="295">
        <v>451</v>
      </c>
      <c r="D56" s="324">
        <v>459</v>
      </c>
      <c r="E56" s="52">
        <f>(D56-C56)/C56</f>
        <v>1.7738359201773836E-2</v>
      </c>
      <c r="F56" s="109">
        <v>432</v>
      </c>
      <c r="G56" s="52">
        <f>(D56-F56)/F56</f>
        <v>6.25E-2</v>
      </c>
      <c r="H56" s="303">
        <v>368</v>
      </c>
      <c r="I56" s="52">
        <f>(D56-H56)/H56</f>
        <v>0.24728260869565216</v>
      </c>
      <c r="J56" s="294">
        <f>VALUE(3949)</f>
        <v>3949</v>
      </c>
      <c r="K56" s="294">
        <v>3956</v>
      </c>
      <c r="L56" s="54">
        <f>(J56-K56)/K56</f>
        <v>-1.7694641051567239E-3</v>
      </c>
      <c r="M56" s="53">
        <v>4228</v>
      </c>
      <c r="N56" s="54">
        <f>(J56-M56)/M56</f>
        <v>-6.5988647114474927E-2</v>
      </c>
      <c r="O56" s="294">
        <v>4680</v>
      </c>
      <c r="P56" s="52">
        <f>(J56-O56)/O56</f>
        <v>-0.1561965811965812</v>
      </c>
      <c r="Q56" s="52">
        <f>(D56/J56)</f>
        <v>0.1162319574575842</v>
      </c>
      <c r="R56" s="52">
        <f>(C56/K56)</f>
        <v>0.11400404448938321</v>
      </c>
      <c r="S56" s="52">
        <f>(Q56-R56)</f>
        <v>2.2279129682009902E-3</v>
      </c>
      <c r="T56" s="52">
        <f>(F56/M56)</f>
        <v>0.1021759697256386</v>
      </c>
      <c r="U56" s="52">
        <f>(Q56-T56)</f>
        <v>1.4055987731945607E-2</v>
      </c>
      <c r="V56" s="52">
        <f>(H56/O56)</f>
        <v>7.8632478632478631E-2</v>
      </c>
      <c r="W56" s="52">
        <f t="shared" si="0"/>
        <v>3.7599478825105573E-2</v>
      </c>
      <c r="X56" s="338">
        <v>0.28810000000000002</v>
      </c>
      <c r="Y56" s="338">
        <v>0.31359999999999999</v>
      </c>
      <c r="Z56" s="336">
        <v>0.51219999999999999</v>
      </c>
      <c r="AA56" s="337">
        <v>0.46729999999999999</v>
      </c>
    </row>
    <row r="57" spans="1:27" ht="17" thickBot="1" x14ac:dyDescent="0.25">
      <c r="A57" s="73">
        <v>83</v>
      </c>
      <c r="B57" s="45" t="s">
        <v>77</v>
      </c>
      <c r="C57" s="295">
        <v>758</v>
      </c>
      <c r="D57" s="324">
        <v>736</v>
      </c>
      <c r="E57" s="52">
        <f>(D57-C57)/C57</f>
        <v>-2.9023746701846966E-2</v>
      </c>
      <c r="F57" s="109">
        <v>753</v>
      </c>
      <c r="G57" s="52">
        <f>(D57-F57)/F57</f>
        <v>-2.2576361221779549E-2</v>
      </c>
      <c r="H57" s="303">
        <v>660</v>
      </c>
      <c r="I57" s="52">
        <f>(D57-H57)/H57</f>
        <v>0.11515151515151516</v>
      </c>
      <c r="J57" s="294">
        <f>VALUE(6560)</f>
        <v>6560</v>
      </c>
      <c r="K57" s="294">
        <v>6394</v>
      </c>
      <c r="L57" s="54">
        <f>(J57-K57)/K57</f>
        <v>2.5961839224272757E-2</v>
      </c>
      <c r="M57" s="53">
        <v>5993</v>
      </c>
      <c r="N57" s="54">
        <f>(J57-M57)/M57</f>
        <v>9.4610378775237772E-2</v>
      </c>
      <c r="O57" s="294">
        <v>6160</v>
      </c>
      <c r="P57" s="52">
        <f>(J57-O57)/O57</f>
        <v>6.4935064935064929E-2</v>
      </c>
      <c r="Q57" s="52">
        <f>(D57/J57)</f>
        <v>0.11219512195121951</v>
      </c>
      <c r="R57" s="52">
        <f>(C57/K57)</f>
        <v>0.11854863934939006</v>
      </c>
      <c r="S57" s="52">
        <f>(Q57-R57)</f>
        <v>-6.3535173981705412E-3</v>
      </c>
      <c r="T57" s="52">
        <f>(F57/M57)</f>
        <v>0.12564658768563325</v>
      </c>
      <c r="U57" s="52">
        <f>(Q57-T57)</f>
        <v>-1.3451465734413734E-2</v>
      </c>
      <c r="V57" s="52">
        <f>(H57/O57)</f>
        <v>0.10714285714285714</v>
      </c>
      <c r="W57" s="52">
        <f t="shared" si="0"/>
        <v>5.0522648083623778E-3</v>
      </c>
      <c r="X57" s="338">
        <v>0.31909999999999999</v>
      </c>
      <c r="Y57" s="338">
        <v>0.14369999999999999</v>
      </c>
      <c r="Z57" s="336">
        <v>0.314</v>
      </c>
      <c r="AA57" s="337">
        <v>0.373</v>
      </c>
    </row>
    <row r="58" spans="1:27" ht="16" x14ac:dyDescent="0.2">
      <c r="A58" s="73">
        <v>84</v>
      </c>
      <c r="B58" s="45" t="s">
        <v>11</v>
      </c>
      <c r="C58" s="310"/>
      <c r="D58" s="329"/>
      <c r="E58" s="52"/>
      <c r="F58" s="313"/>
      <c r="G58" s="52"/>
      <c r="H58" s="311"/>
      <c r="I58" s="52"/>
      <c r="J58" s="316"/>
      <c r="K58" s="317"/>
      <c r="L58" s="54"/>
      <c r="M58" s="316"/>
      <c r="N58" s="54"/>
      <c r="O58" s="316"/>
      <c r="P58" s="52"/>
      <c r="Q58" s="52"/>
      <c r="R58" s="52"/>
      <c r="S58" s="52"/>
      <c r="T58" s="52"/>
      <c r="U58" s="52"/>
      <c r="V58" s="52"/>
      <c r="W58" s="52"/>
      <c r="X58" s="338"/>
      <c r="Y58" s="338"/>
      <c r="Z58" s="336"/>
      <c r="AA58" s="141"/>
    </row>
    <row r="59" spans="1:27" ht="16" x14ac:dyDescent="0.2">
      <c r="A59" s="73">
        <v>85</v>
      </c>
      <c r="B59" s="45" t="s">
        <v>12</v>
      </c>
      <c r="C59" s="310"/>
      <c r="D59" s="329"/>
      <c r="E59" s="52"/>
      <c r="F59" s="313"/>
      <c r="G59" s="52"/>
      <c r="H59" s="311"/>
      <c r="I59" s="52"/>
      <c r="J59" s="316"/>
      <c r="K59" s="317"/>
      <c r="L59" s="54"/>
      <c r="M59" s="316"/>
      <c r="N59" s="54"/>
      <c r="O59" s="316"/>
      <c r="P59" s="52"/>
      <c r="Q59" s="52"/>
      <c r="R59" s="52"/>
      <c r="S59" s="52"/>
      <c r="T59" s="52"/>
      <c r="U59" s="52"/>
      <c r="V59" s="52"/>
      <c r="W59" s="52"/>
      <c r="X59" s="338"/>
      <c r="Y59" s="338"/>
      <c r="Z59" s="80"/>
      <c r="AA59" s="141"/>
    </row>
    <row r="60" spans="1:27" ht="17" thickBot="1" x14ac:dyDescent="0.25">
      <c r="A60" s="73">
        <v>87</v>
      </c>
      <c r="B60" s="45" t="s">
        <v>8</v>
      </c>
      <c r="C60" s="310"/>
      <c r="D60" s="329"/>
      <c r="E60" s="52"/>
      <c r="F60" s="313"/>
      <c r="G60" s="52"/>
      <c r="H60" s="311"/>
      <c r="I60" s="52"/>
      <c r="J60" s="316"/>
      <c r="K60" s="317"/>
      <c r="L60" s="54"/>
      <c r="M60" s="316"/>
      <c r="N60" s="54"/>
      <c r="O60" s="316"/>
      <c r="P60" s="52"/>
      <c r="Q60" s="52"/>
      <c r="R60" s="52"/>
      <c r="S60" s="52"/>
      <c r="T60" s="52"/>
      <c r="U60" s="52"/>
      <c r="V60" s="52"/>
      <c r="W60" s="52"/>
      <c r="X60" s="338"/>
      <c r="Y60" s="338"/>
      <c r="Z60" s="80"/>
      <c r="AA60" s="141"/>
    </row>
    <row r="61" spans="1:27" ht="17" thickBot="1" x14ac:dyDescent="0.25">
      <c r="A61" s="73">
        <v>91</v>
      </c>
      <c r="B61" s="45" t="s">
        <v>78</v>
      </c>
      <c r="C61" s="295">
        <v>174</v>
      </c>
      <c r="D61" s="324">
        <v>127</v>
      </c>
      <c r="E61" s="52">
        <f>(D61-C61)/C61</f>
        <v>-0.27011494252873564</v>
      </c>
      <c r="F61" s="109">
        <v>220</v>
      </c>
      <c r="G61" s="52">
        <f>(D61-F61)/F61</f>
        <v>-0.42272727272727273</v>
      </c>
      <c r="H61" s="303">
        <v>205</v>
      </c>
      <c r="I61" s="52">
        <f>(D61-H61)/H61</f>
        <v>-0.38048780487804879</v>
      </c>
      <c r="J61" s="294">
        <f>VALUE(2899)</f>
        <v>2899</v>
      </c>
      <c r="K61" s="294">
        <v>4325</v>
      </c>
      <c r="L61" s="54">
        <f>(J61-K61)/K61</f>
        <v>-0.32971098265895954</v>
      </c>
      <c r="M61" s="83">
        <v>4448</v>
      </c>
      <c r="N61" s="54">
        <f>(J61-M61)/M61</f>
        <v>-0.34824640287769787</v>
      </c>
      <c r="O61" s="294">
        <v>3442</v>
      </c>
      <c r="P61" s="52">
        <f>(J61-O61)/O61</f>
        <v>-0.15775711795467751</v>
      </c>
      <c r="Q61" s="52">
        <f>(D61/J61)</f>
        <v>4.3808209727492241E-2</v>
      </c>
      <c r="R61" s="52">
        <f>(C61/K61)</f>
        <v>4.0231213872832371E-2</v>
      </c>
      <c r="S61" s="52">
        <f>(Q61-R61)</f>
        <v>3.5769958546598701E-3</v>
      </c>
      <c r="T61" s="52">
        <f>(F61/M61)</f>
        <v>4.9460431654676257E-2</v>
      </c>
      <c r="U61" s="52">
        <f>(Q61-T61)</f>
        <v>-5.652221927184016E-3</v>
      </c>
      <c r="V61" s="52">
        <f>(H61/O61)</f>
        <v>5.9558396281231843E-2</v>
      </c>
      <c r="W61" s="52">
        <f t="shared" si="0"/>
        <v>-1.5750186553739602E-2</v>
      </c>
      <c r="X61" s="338">
        <v>0.32140000000000002</v>
      </c>
      <c r="Y61" s="338">
        <v>0.29620000000000002</v>
      </c>
      <c r="Z61" s="92"/>
      <c r="AA61" s="142"/>
    </row>
    <row r="62" spans="1:27" ht="16" x14ac:dyDescent="0.2">
      <c r="A62" s="73">
        <v>92</v>
      </c>
      <c r="B62" s="45" t="s">
        <v>14</v>
      </c>
      <c r="C62" s="310"/>
      <c r="D62" s="329"/>
      <c r="E62" s="52"/>
      <c r="F62" s="313"/>
      <c r="G62" s="52"/>
      <c r="H62" s="311"/>
      <c r="I62" s="52"/>
      <c r="J62" s="311"/>
      <c r="K62" s="310"/>
      <c r="L62" s="54"/>
      <c r="M62" s="311"/>
      <c r="N62" s="54"/>
      <c r="O62" s="311"/>
      <c r="P62" s="52"/>
      <c r="Q62" s="52"/>
      <c r="R62" s="52"/>
      <c r="S62" s="52"/>
      <c r="T62" s="52"/>
      <c r="U62" s="52"/>
      <c r="V62" s="52"/>
      <c r="W62" s="52"/>
      <c r="X62" s="84"/>
      <c r="Y62" s="84"/>
      <c r="Z62" s="80"/>
      <c r="AA62" s="141"/>
    </row>
    <row r="63" spans="1:27" ht="16" x14ac:dyDescent="0.2">
      <c r="A63" s="71"/>
      <c r="B63" s="49" t="s">
        <v>32</v>
      </c>
      <c r="C63" s="322">
        <v>53503</v>
      </c>
      <c r="D63" s="287">
        <f>SUM(D4:D61)</f>
        <v>53325</v>
      </c>
      <c r="E63" s="52">
        <f>(D63-C63)/C63</f>
        <v>-3.3269162476870454E-3</v>
      </c>
      <c r="F63" s="300">
        <v>52545</v>
      </c>
      <c r="G63" s="52">
        <f>(D63-F63)/F63</f>
        <v>1.4844419069369112E-2</v>
      </c>
      <c r="H63" s="325">
        <v>46381</v>
      </c>
      <c r="I63" s="52">
        <f>(D63-H63)/H63</f>
        <v>0.14971647873051466</v>
      </c>
      <c r="J63" s="288">
        <v>548653</v>
      </c>
      <c r="K63" s="77">
        <v>568271</v>
      </c>
      <c r="L63" s="54">
        <f>(J63-K63)/K63</f>
        <v>-3.4522261385852876E-2</v>
      </c>
      <c r="M63" s="289">
        <v>557630</v>
      </c>
      <c r="N63" s="54">
        <f>(J63-M63)/M63</f>
        <v>-1.6098488244893568E-2</v>
      </c>
      <c r="O63" s="323">
        <v>528544</v>
      </c>
      <c r="P63" s="52">
        <f>(J63-O63)/O63</f>
        <v>3.8046028334443302E-2</v>
      </c>
      <c r="Q63" s="52">
        <f>(D63/J63)</f>
        <v>9.7192578915999736E-2</v>
      </c>
      <c r="R63" s="52">
        <f>(C63/K63)</f>
        <v>9.4150502137184552E-2</v>
      </c>
      <c r="S63" s="52">
        <f>(Q63-R63)</f>
        <v>3.0420767788151837E-3</v>
      </c>
      <c r="T63" s="52">
        <f>(F63/M63)</f>
        <v>9.4229148360023676E-2</v>
      </c>
      <c r="U63" s="52">
        <f>(Q63-T63)</f>
        <v>2.9634305559760599E-3</v>
      </c>
      <c r="V63" s="52">
        <f>(H63/O63)</f>
        <v>8.775239147544954E-2</v>
      </c>
      <c r="W63" s="52">
        <f>(Q63-V63)</f>
        <v>9.4401874405501962E-3</v>
      </c>
      <c r="X63" s="350">
        <v>0.16650000000000001</v>
      </c>
      <c r="Y63" s="333">
        <v>0.15379999999999999</v>
      </c>
      <c r="Z63" s="336">
        <v>0.4037</v>
      </c>
      <c r="AA63" s="337">
        <v>0.3926</v>
      </c>
    </row>
    <row r="65" spans="4:4" x14ac:dyDescent="0.2">
      <c r="D65" s="287"/>
    </row>
    <row r="181" spans="2:2" x14ac:dyDescent="0.2">
      <c r="B181" s="17"/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2013-2014</vt:lpstr>
      <vt:lpstr>2014-2015</vt:lpstr>
      <vt:lpstr>2015-2016</vt:lpstr>
      <vt:lpstr>2016-2017</vt:lpstr>
      <vt:lpstr>2017-2018</vt:lpstr>
      <vt:lpstr>2018-2019</vt:lpstr>
      <vt:lpstr>2019-2020</vt:lpstr>
      <vt:lpstr>2020-2021</vt:lpstr>
      <vt:lpstr>2021-2022</vt:lpstr>
      <vt:lpstr>Graphs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2022-08-05T16:34:23Z</dcterms:modified>
</cp:coreProperties>
</file>